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7305" tabRatio="468" activeTab="0"/>
  </bookViews>
  <sheets>
    <sheet name="Questions" sheetId="1" r:id="rId1"/>
    <sheet name="AfterRetirement" sheetId="2" r:id="rId2"/>
    <sheet name="Ranges and Data" sheetId="3" state="hidden" r:id="rId3"/>
    <sheet name="Calculations" sheetId="4" r:id="rId4"/>
    <sheet name="Inflation Post Retirement" sheetId="5" state="hidden" r:id="rId5"/>
    <sheet name="ROR-1" sheetId="6" r:id="rId6"/>
  </sheets>
  <definedNames>
    <definedName name="AAR_Calculator">#REF!</definedName>
    <definedName name="AARStart">#REF!</definedName>
    <definedName name="DATABASE">'Calculations'!$D$3:$S$84</definedName>
    <definedName name="EntryStart">#REF!</definedName>
    <definedName name="ForecastStart">#REF!</definedName>
    <definedName name="Horizon_AAR_Drawdown">"`"</definedName>
    <definedName name="HorizonAAT">#REF!</definedName>
    <definedName name="PlanSummary">#REF!</definedName>
    <definedName name="PlanYearlyDetail">#REF!</definedName>
    <definedName name="Retirement_Goal_Calculator">'Questions'!$B$5</definedName>
    <definedName name="Retirement_Goal_Results">#REF!</definedName>
    <definedName name="SummaryStart">#REF!</definedName>
    <definedName name="Yearsto20">#REF!</definedName>
    <definedName name="YearTable">#REF!</definedName>
    <definedName name="Yearto20">#REF!</definedName>
  </definedNames>
  <calcPr fullCalcOnLoad="1"/>
</workbook>
</file>

<file path=xl/comments1.xml><?xml version="1.0" encoding="utf-8"?>
<comments xmlns="http://schemas.openxmlformats.org/spreadsheetml/2006/main">
  <authors>
    <author>Kevin L. Coppola</author>
  </authors>
  <commentList>
    <comment ref="B14" authorId="0">
      <text>
        <r>
          <rPr>
            <b/>
            <sz val="8"/>
            <rFont val="Tahoma"/>
            <family val="2"/>
          </rPr>
          <t>Press the Enter or Down Arrow key after entering the value.</t>
        </r>
      </text>
    </comment>
    <comment ref="B5" authorId="0">
      <text>
        <r>
          <rPr>
            <b/>
            <sz val="8"/>
            <rFont val="Tahoma"/>
            <family val="2"/>
          </rPr>
          <t>Press the Tab Key 
after entering the value.</t>
        </r>
      </text>
    </comment>
    <comment ref="B6" authorId="0">
      <text>
        <r>
          <rPr>
            <b/>
            <sz val="8"/>
            <rFont val="Tahoma"/>
            <family val="2"/>
          </rPr>
          <t>Press the Tab Key 
after entering the value.</t>
        </r>
      </text>
    </comment>
    <comment ref="B7" authorId="0">
      <text>
        <r>
          <rPr>
            <b/>
            <sz val="8"/>
            <rFont val="Tahoma"/>
            <family val="2"/>
          </rPr>
          <t>Press the Tab Key 
after entering the value.</t>
        </r>
      </text>
    </comment>
    <comment ref="B8" authorId="0">
      <text>
        <r>
          <rPr>
            <b/>
            <sz val="8"/>
            <rFont val="Tahoma"/>
            <family val="2"/>
          </rPr>
          <t>Press the Tab Key 
after entering the value.</t>
        </r>
      </text>
    </comment>
    <comment ref="B9" authorId="0">
      <text>
        <r>
          <rPr>
            <b/>
            <sz val="8"/>
            <rFont val="Tahoma"/>
            <family val="2"/>
          </rPr>
          <t>Press the Tab Key 
after entering the value.</t>
        </r>
      </text>
    </comment>
    <comment ref="B10" authorId="0">
      <text>
        <r>
          <rPr>
            <b/>
            <sz val="8"/>
            <rFont val="Tahoma"/>
            <family val="2"/>
          </rPr>
          <t>Press the Tab Key 
after entering the value.</t>
        </r>
      </text>
    </comment>
    <comment ref="B11" authorId="0">
      <text>
        <r>
          <rPr>
            <b/>
            <sz val="8"/>
            <rFont val="Tahoma"/>
            <family val="2"/>
          </rPr>
          <t>Press the Tab Key 
after entering the value.</t>
        </r>
      </text>
    </comment>
    <comment ref="B12" authorId="0">
      <text>
        <r>
          <rPr>
            <b/>
            <sz val="8"/>
            <rFont val="Tahoma"/>
            <family val="2"/>
          </rPr>
          <t>Press the Tab Key 
after entering the value.</t>
        </r>
      </text>
    </comment>
    <comment ref="B13" authorId="0">
      <text>
        <r>
          <rPr>
            <b/>
            <sz val="8"/>
            <rFont val="Tahoma"/>
            <family val="2"/>
          </rPr>
          <t>Press the Tab Key 
after entering the value.</t>
        </r>
      </text>
    </comment>
  </commentList>
</comments>
</file>

<file path=xl/sharedStrings.xml><?xml version="1.0" encoding="utf-8"?>
<sst xmlns="http://schemas.openxmlformats.org/spreadsheetml/2006/main" count="143" uniqueCount="133">
  <si>
    <t>Salary</t>
  </si>
  <si>
    <t>Work Year</t>
  </si>
  <si>
    <t>Age</t>
  </si>
  <si>
    <t>Current Age</t>
  </si>
  <si>
    <t>Salary in Work Year</t>
  </si>
  <si>
    <t>Current 401K Balance</t>
  </si>
  <si>
    <t>= Multiple of Final Salary @ 5% to give desired Replacement Ratio</t>
  </si>
  <si>
    <t>401(k) Balance NEEDED</t>
  </si>
  <si>
    <t>New Money</t>
  </si>
  <si>
    <t>Gain on Plan</t>
  </si>
  <si>
    <t>Gain on New Money</t>
  </si>
  <si>
    <t>Year-end Total</t>
  </si>
  <si>
    <t>= AAR Needed to Reach Goal</t>
  </si>
  <si>
    <t>Avg Salary</t>
  </si>
  <si>
    <t xml:space="preserve">     Calculation of ANNUALIZED RETURN</t>
  </si>
  <si>
    <t xml:space="preserve">Current Date = </t>
  </si>
  <si>
    <t xml:space="preserve">Change only the numbers in a </t>
  </si>
  <si>
    <t>red box</t>
  </si>
  <si>
    <t>start plot at</t>
  </si>
  <si>
    <t xml:space="preserve">    in increments of</t>
  </si>
  <si>
    <t>Linear (approximation) =</t>
  </si>
  <si>
    <t>Your Initial Guess =</t>
  </si>
  <si>
    <t xml:space="preserve">       Error in Return</t>
  </si>
  <si>
    <t>first iteration =</t>
  </si>
  <si>
    <t>Error =</t>
  </si>
  <si>
    <t>Error vs Rate of Return</t>
  </si>
  <si>
    <t xml:space="preserve">   This method is due to Sir Isaac Newton:</t>
  </si>
  <si>
    <t>Today's Portfolio =</t>
  </si>
  <si>
    <t>second iteration =</t>
  </si>
  <si>
    <t>YOUR Initial Guess =</t>
  </si>
  <si>
    <t>third iteration =</t>
  </si>
  <si>
    <t>RETURN =</t>
  </si>
  <si>
    <t>Calculate</t>
  </si>
  <si>
    <t>ANNUALIZED RETURN =</t>
  </si>
  <si>
    <t>Instructions</t>
  </si>
  <si>
    <t>Error</t>
  </si>
  <si>
    <t>CASH FLOWS</t>
  </si>
  <si>
    <t>DATE</t>
  </si>
  <si>
    <t>YEARS</t>
  </si>
  <si>
    <t>D5:</t>
  </si>
  <si>
    <t>Enter the current value of your Portfolio.</t>
  </si>
  <si>
    <t>Calculations based upon Newton's Method:</t>
  </si>
  <si>
    <t>D6:</t>
  </si>
  <si>
    <t>Enter an initial guess for your annualized return.</t>
  </si>
  <si>
    <t>You can use the "Linear approximation" (at D3) as your guess.</t>
  </si>
  <si>
    <t>Column B:</t>
  </si>
  <si>
    <t xml:space="preserve">Enter AMOUNTs invested (as a positive number if money </t>
  </si>
  <si>
    <t>was invested,  a negative number if money was withdrawn).</t>
  </si>
  <si>
    <t>Column C:</t>
  </si>
  <si>
    <t>K1</t>
  </si>
  <si>
    <t>Enter the DATE (of Today's Portfolio)</t>
  </si>
  <si>
    <t>See:</t>
  </si>
  <si>
    <t>http://home.golden.net/~pjponzo/Rate-of-Return-2.htm</t>
  </si>
  <si>
    <t xml:space="preserve">     The "corrected" ANNUALIZED RETURN is given in D7</t>
  </si>
  <si>
    <t>NOTES:</t>
  </si>
  <si>
    <t>Observe the successive iterations in H3 - H6 (they are improvements on your "Guess").</t>
  </si>
  <si>
    <t>If H6 is significantly different from H5, then replace "YOUR Initial Guess" by H6.</t>
  </si>
  <si>
    <t>(That will allow Newton to continue improving from where he left off!)</t>
  </si>
  <si>
    <t>If you need more rows for CASH FLOWS &amp; DATEs, just copy ALL of the last row</t>
  </si>
  <si>
    <t>and paste it into successive rows</t>
  </si>
  <si>
    <t>and the current value of your portfolio. (That is, "Today's Portfolio").</t>
  </si>
  <si>
    <r>
      <t>Error</t>
    </r>
    <r>
      <rPr>
        <b/>
        <sz val="8"/>
        <rFont val="Arial"/>
        <family val="2"/>
      </rPr>
      <t xml:space="preserve"> =</t>
    </r>
  </si>
  <si>
    <r>
      <t xml:space="preserve">Enter the DATEs of the investments </t>
    </r>
    <r>
      <rPr>
        <sz val="8"/>
        <rFont val="Arial"/>
        <family val="2"/>
      </rPr>
      <t>(the first being the earliest)</t>
    </r>
  </si>
  <si>
    <r>
      <t xml:space="preserve">Note the error (if any!) in cell K4 … and the </t>
    </r>
    <r>
      <rPr>
        <b/>
        <sz val="9"/>
        <color indexed="12"/>
        <rFont val="Times New Roman"/>
        <family val="1"/>
      </rPr>
      <t>Error</t>
    </r>
    <r>
      <rPr>
        <sz val="9"/>
        <rFont val="Times New Roman"/>
        <family val="1"/>
      </rPr>
      <t xml:space="preserve"> chart over here</t>
    </r>
  </si>
  <si>
    <r>
      <t xml:space="preserve">This </t>
    </r>
    <r>
      <rPr>
        <b/>
        <sz val="9"/>
        <color indexed="12"/>
        <rFont val="Times New Roman"/>
        <family val="1"/>
      </rPr>
      <t>Error</t>
    </r>
    <r>
      <rPr>
        <sz val="9"/>
        <rFont val="Times New Roman"/>
        <family val="1"/>
      </rPr>
      <t xml:space="preserve"> is the difference between the sum of </t>
    </r>
    <r>
      <rPr>
        <b/>
        <sz val="9"/>
        <rFont val="Times New Roman"/>
        <family val="1"/>
      </rPr>
      <t xml:space="preserve">(CASH FLOW)*(1+RETURN)^YEARS </t>
    </r>
  </si>
  <si>
    <r>
      <t xml:space="preserve">   If your first date is </t>
    </r>
    <r>
      <rPr>
        <b/>
        <sz val="8"/>
        <rFont val="Arial"/>
        <family val="2"/>
      </rPr>
      <t>Jan 1</t>
    </r>
    <r>
      <rPr>
        <sz val="8"/>
        <rFont val="Arial"/>
        <family val="2"/>
      </rPr>
      <t xml:space="preserve"> of the </t>
    </r>
    <r>
      <rPr>
        <u val="single"/>
        <sz val="8"/>
        <rFont val="Arial"/>
        <family val="2"/>
      </rPr>
      <t>current year</t>
    </r>
    <r>
      <rPr>
        <sz val="8"/>
        <rFont val="Arial"/>
        <family val="2"/>
      </rPr>
      <t xml:space="preserve"> then YTD return is</t>
    </r>
  </si>
  <si>
    <t>= Average Monthly Contribution</t>
  </si>
  <si>
    <t>= Average Yearly Salary [NEED LOOKUP FORMULA]</t>
  </si>
  <si>
    <t>= Average TOTAL Contributions</t>
  </si>
  <si>
    <t>= Target Savings [NEED LOOKUP FORMULA]</t>
  </si>
  <si>
    <t>= Work Year That Goal is reached with Horizon</t>
  </si>
  <si>
    <t>= Age That Goal is reached with Horizon</t>
  </si>
  <si>
    <t>CIH Goal Flag</t>
  </si>
  <si>
    <t>Current Goal Flag</t>
  </si>
  <si>
    <t>= Work Year That Goal is reached with Current AAR</t>
  </si>
  <si>
    <t>= Age That Goal is reached with Current AAR</t>
  </si>
  <si>
    <t>= Salary at Retirement</t>
  </si>
  <si>
    <t>= Total Yearly Contributions</t>
  </si>
  <si>
    <t>= Yearly Increase After Inflation</t>
  </si>
  <si>
    <t>Inflation</t>
  </si>
  <si>
    <t>% of Start</t>
  </si>
  <si>
    <t>Inflation Impact Post Retirement</t>
  </si>
  <si>
    <t>= Post Retirement Inflation Age Target</t>
  </si>
  <si>
    <t>= Number of Years after Retirement until Age Target</t>
  </si>
  <si>
    <t>Salary Equivalent at Age 85 After Inflation:</t>
  </si>
  <si>
    <t>Current AAR</t>
  </si>
  <si>
    <t>Horizon AAR</t>
  </si>
  <si>
    <t>Shortfall at AAR</t>
  </si>
  <si>
    <t>Percent of Retirement Salary remaining at Age 85:</t>
  </si>
  <si>
    <t>= Years until retirement</t>
  </si>
  <si>
    <t>Effect of Inflation on Your Retirement Salary:</t>
  </si>
  <si>
    <t>Your Expected Plan Value:</t>
  </si>
  <si>
    <t>Your Salary will be:</t>
  </si>
  <si>
    <t>Your Needed Plan Value will be:</t>
  </si>
  <si>
    <r>
      <t xml:space="preserve">10. Enter the expected average </t>
    </r>
    <r>
      <rPr>
        <b/>
        <sz val="10"/>
        <color indexed="17"/>
        <rFont val="Arial"/>
        <family val="2"/>
      </rPr>
      <t>lifetime yearly INFLATION RATE</t>
    </r>
    <r>
      <rPr>
        <b/>
        <sz val="10"/>
        <rFont val="Arial"/>
        <family val="2"/>
      </rPr>
      <t xml:space="preserve"> (avg=3.5%)
then Access the</t>
    </r>
    <r>
      <rPr>
        <b/>
        <sz val="10"/>
        <color indexed="10"/>
        <rFont val="Arial"/>
        <family val="2"/>
      </rPr>
      <t xml:space="preserve"> Results to See if Goal is Reached</t>
    </r>
    <r>
      <rPr>
        <b/>
        <sz val="10"/>
        <rFont val="Arial"/>
        <family val="2"/>
      </rPr>
      <t>:</t>
    </r>
  </si>
  <si>
    <r>
      <t xml:space="preserve">1. Enter your </t>
    </r>
    <r>
      <rPr>
        <sz val="10"/>
        <color indexed="17"/>
        <rFont val="Arial"/>
        <family val="2"/>
      </rPr>
      <t>CURRENT AGE</t>
    </r>
    <r>
      <rPr>
        <sz val="10"/>
        <rFont val="Arial"/>
        <family val="2"/>
      </rPr>
      <t>:</t>
    </r>
  </si>
  <si>
    <r>
      <t xml:space="preserve">2. Enter your </t>
    </r>
    <r>
      <rPr>
        <sz val="10"/>
        <color indexed="17"/>
        <rFont val="Arial"/>
        <family val="2"/>
      </rPr>
      <t>EXPECTED RETIREMENT AGE</t>
    </r>
    <r>
      <rPr>
        <sz val="10"/>
        <rFont val="Arial"/>
        <family val="2"/>
      </rPr>
      <t>:</t>
    </r>
  </si>
  <si>
    <r>
      <t xml:space="preserve">3. Enter your </t>
    </r>
    <r>
      <rPr>
        <sz val="10"/>
        <color indexed="17"/>
        <rFont val="Arial"/>
        <family val="2"/>
      </rPr>
      <t>CURRENT SALARY</t>
    </r>
    <r>
      <rPr>
        <sz val="10"/>
        <rFont val="Arial"/>
        <family val="2"/>
      </rPr>
      <t xml:space="preserve"> (e.g., 40,000, 100,000, etc.):</t>
    </r>
  </si>
  <si>
    <r>
      <t xml:space="preserve">4. Enter your </t>
    </r>
    <r>
      <rPr>
        <sz val="10"/>
        <color indexed="17"/>
        <rFont val="Arial"/>
        <family val="2"/>
      </rPr>
      <t>CURRENT RETIREMENT PLAN BALANCE</t>
    </r>
    <r>
      <rPr>
        <sz val="10"/>
        <rFont val="Arial"/>
        <family val="2"/>
      </rPr>
      <t xml:space="preserve"> (e.g., 10,000, 100,000, etc.):</t>
    </r>
  </si>
  <si>
    <r>
      <t xml:space="preserve">5. Enter your </t>
    </r>
    <r>
      <rPr>
        <sz val="10"/>
        <color indexed="17"/>
        <rFont val="Arial"/>
        <family val="2"/>
      </rPr>
      <t>RETIREMENT GOAL.</t>
    </r>
    <r>
      <rPr>
        <sz val="10"/>
        <rFont val="Arial"/>
        <family val="2"/>
      </rPr>
      <t xml:space="preserve"> This is the % of your FINAL salary that you will need 
each year of your retirement, forever: (Compass Investors strongly recommends 100%):</t>
    </r>
  </si>
  <si>
    <r>
      <t xml:space="preserve">7. Enter the </t>
    </r>
    <r>
      <rPr>
        <sz val="10"/>
        <color indexed="17"/>
        <rFont val="Arial"/>
        <family val="2"/>
      </rPr>
      <t>% OF YOUR SALARY</t>
    </r>
    <r>
      <rPr>
        <sz val="10"/>
        <rFont val="Arial"/>
        <family val="2"/>
      </rPr>
      <t xml:space="preserve"> that
</t>
    </r>
    <r>
      <rPr>
        <sz val="10"/>
        <color indexed="17"/>
        <rFont val="Arial"/>
        <family val="2"/>
      </rPr>
      <t xml:space="preserve">YOU </t>
    </r>
    <r>
      <rPr>
        <sz val="10"/>
        <rFont val="Arial"/>
        <family val="2"/>
      </rPr>
      <t>are contributing to your Retirement Plan:</t>
    </r>
  </si>
  <si>
    <r>
      <t xml:space="preserve">8. Enter </t>
    </r>
    <r>
      <rPr>
        <sz val="10"/>
        <color indexed="17"/>
        <rFont val="Arial"/>
        <family val="2"/>
      </rPr>
      <t>% OF YOUR SALARY</t>
    </r>
    <r>
      <rPr>
        <sz val="10"/>
        <rFont val="Arial"/>
        <family val="2"/>
      </rPr>
      <t xml:space="preserve"> that 
</t>
    </r>
    <r>
      <rPr>
        <sz val="10"/>
        <color indexed="17"/>
        <rFont val="Arial"/>
        <family val="2"/>
      </rPr>
      <t xml:space="preserve">YOUR COMPANY </t>
    </r>
    <r>
      <rPr>
        <sz val="10"/>
        <rFont val="Arial"/>
        <family val="2"/>
      </rPr>
      <t>is contributing to your Retirement Plan:</t>
    </r>
  </si>
  <si>
    <r>
      <t xml:space="preserve">9. Enter your expected average </t>
    </r>
    <r>
      <rPr>
        <sz val="10"/>
        <color indexed="17"/>
        <rFont val="Arial"/>
        <family val="2"/>
      </rPr>
      <t>lifetime yearly SALARY INCREASE</t>
    </r>
    <r>
      <rPr>
        <sz val="10"/>
        <rFont val="Arial"/>
        <family val="2"/>
      </rPr>
      <t xml:space="preserve"> (avg=3%)</t>
    </r>
  </si>
  <si>
    <t>Your Plan Balance will have a/an:</t>
  </si>
  <si>
    <t>Copyright © Compass Investors, LLC</t>
  </si>
  <si>
    <r>
      <t xml:space="preserve">Age at which goal is met with </t>
    </r>
    <r>
      <rPr>
        <b/>
        <i/>
        <sz val="10"/>
        <color indexed="12"/>
        <rFont val="Arial"/>
        <family val="2"/>
      </rPr>
      <t>Horizon™</t>
    </r>
    <r>
      <rPr>
        <b/>
        <sz val="10"/>
        <color indexed="12"/>
        <rFont val="Arial"/>
        <family val="2"/>
      </rPr>
      <t>:</t>
    </r>
  </si>
  <si>
    <t>= Horizon AAR</t>
  </si>
  <si>
    <t>Compass Investors Retirement Goal Calculator™</t>
  </si>
  <si>
    <t>After you have answered ALL questions above,
Scroll/Page Down to see your results…</t>
  </si>
  <si>
    <t xml:space="preserve">       Questions? Problems? Click here.</t>
  </si>
  <si>
    <t xml:space="preserve"> Press TAB after EACH entry.</t>
  </si>
  <si>
    <t>* If you see a SHORTFALL reported for your needed Plan Balance, 
click here to help decide which HORIZON plan will be right for you.</t>
  </si>
  <si>
    <r>
      <t xml:space="preserve">6. Enter your </t>
    </r>
    <r>
      <rPr>
        <sz val="10"/>
        <color indexed="17"/>
        <rFont val="Arial"/>
        <family val="2"/>
      </rPr>
      <t>true AVERAGE ANNUAL RETURN (AAR)</t>
    </r>
    <r>
      <rPr>
        <sz val="10"/>
        <rFont val="Arial"/>
        <family val="2"/>
      </rPr>
      <t xml:space="preserve"> from the START of your plan. 
(i.e., Your return not counting contributions) Note: Typical AAR is 5%. 
You can calculate your true AAR using the </t>
    </r>
    <r>
      <rPr>
        <sz val="10"/>
        <color indexed="10"/>
        <rFont val="Arial"/>
        <family val="2"/>
      </rPr>
      <t xml:space="preserve">Compass Investors' AAR Calculator™
(http://www.compassinvestors.com/CIH/CIH_Calculator_AAR.htm)
</t>
    </r>
    <r>
      <rPr>
        <i/>
        <sz val="10"/>
        <rFont val="Arial"/>
        <family val="2"/>
      </rPr>
      <t>Note: If you have worked less than 5 years, enter the typical AAR of 5%:</t>
    </r>
  </si>
  <si>
    <t xml:space="preserve">       Click to see which HORIZON™ plan is best for you and start your RISK-FREE subscription.</t>
  </si>
  <si>
    <t>Ending Balance</t>
  </si>
  <si>
    <t>Stating Balance</t>
  </si>
  <si>
    <t>Starting Balance at Retirement</t>
  </si>
  <si>
    <t>Age at Retirement</t>
  </si>
  <si>
    <t>New Contributions</t>
  </si>
  <si>
    <t>Replacement Ratio</t>
  </si>
  <si>
    <t>COLA During Retirement</t>
  </si>
  <si>
    <t>Starting Salary at Retirement</t>
  </si>
  <si>
    <t>Disbursement Part 1</t>
  </si>
  <si>
    <t>Disbursement Part 2</t>
  </si>
  <si>
    <t>Return Part 1</t>
  </si>
  <si>
    <t>Interim Balance</t>
  </si>
  <si>
    <t>Variables DURING Retirement</t>
  </si>
  <si>
    <t>Return Rate During Retirement</t>
  </si>
  <si>
    <t>Disbursement Assumptions</t>
  </si>
  <si>
    <t xml:space="preserve">Return Assumptions </t>
  </si>
  <si>
    <t xml:space="preserve">          50% of the total year's need is taken out on January 1st and June 1st of each year</t>
  </si>
  <si>
    <t xml:space="preserve">          Return calculated every 6 months following disbursement</t>
  </si>
  <si>
    <t>Assumptions carried over from Questions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</si>
</sst>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_);_(@_)"/>
    <numFmt numFmtId="168" formatCode="_(* #,##0.0_);_(* \(#,##0.0\);_(* &quot;-&quot;??_);_(@_)"/>
    <numFmt numFmtId="169" formatCode="_(* #,##0_);_(* \(#,##0\);_(* &quot;-&quot;??_);_(@_)"/>
    <numFmt numFmtId="170" formatCode="&quot;$&quot;#,##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_-&quot;$&quot;* #,##0_-;\-&quot;$&quot;* #,##0_-;_-&quot;$&quot;* &quot;-&quot;??_-;_-@_-"/>
    <numFmt numFmtId="176" formatCode="0.000%"/>
    <numFmt numFmtId="177" formatCode="0.000000"/>
    <numFmt numFmtId="178" formatCode="0.000"/>
    <numFmt numFmtId="179" formatCode="&quot;$&quot;#,##0.00"/>
    <numFmt numFmtId="180" formatCode="mmm\ d/yy"/>
    <numFmt numFmtId="181" formatCode="[$-409]mmmm\ d\,\ yyyy;@"/>
    <numFmt numFmtId="182" formatCode="[$-409]mmm\-yy;@"/>
    <numFmt numFmtId="183" formatCode="0.00000000"/>
    <numFmt numFmtId="184" formatCode="0.0000000"/>
    <numFmt numFmtId="185" formatCode="0.00000"/>
    <numFmt numFmtId="186" formatCode="0.0000"/>
    <numFmt numFmtId="187" formatCode="0.0"/>
    <numFmt numFmtId="188" formatCode="#,##0.0"/>
    <numFmt numFmtId="189" formatCode="0.000000000"/>
    <numFmt numFmtId="190" formatCode="0.0000000000"/>
    <numFmt numFmtId="191" formatCode="0.00000000000"/>
    <numFmt numFmtId="192" formatCode="0.000000000000"/>
    <numFmt numFmtId="193" formatCode="_(* #,##0.000_);_(* \(#,##0.000\);_(* &quot;-&quot;??_);_(@_)"/>
    <numFmt numFmtId="194" formatCode="_-* #,##0.0_-;\-* #,##0.0_-;_-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_-;\-* #,##0_-;_-* &quot;-&quot;??_-;_-@_-"/>
    <numFmt numFmtId="200" formatCode="_-* #,##0.000_-;\-* #,##0.000_-;_-* &quot;-&quot;??_-;_-@_-"/>
    <numFmt numFmtId="201" formatCode="&quot;$&quot;0"/>
    <numFmt numFmtId="202" formatCode="_$#,##0"/>
    <numFmt numFmtId="203" formatCode="&quot;$&quot;#,##0.0"/>
    <numFmt numFmtId="204" formatCode="&quot;$&quot;#,##0.000"/>
    <numFmt numFmtId="205" formatCode="_(&quot;$&quot;#,##0_);_(&quot;$&quot;\(#,##0\);_(&quot;$&quot;* &quot;-&quot;??_);_(@_)"/>
    <numFmt numFmtId="206" formatCode="_(&quot;$&quot;\ #,##0_);_(&quot;$&quot;\ \(#,##0\);_(&quot;$&quot;\ \ &quot;-&quot;??_);_(@_)"/>
    <numFmt numFmtId="207" formatCode="0.00_);[Red]\(0.00\)"/>
    <numFmt numFmtId="208" formatCode="0.0_);[Red]\(0.0\)"/>
    <numFmt numFmtId="209" formatCode="0_);[Red]\(0\)"/>
    <numFmt numFmtId="210" formatCode="_(&quot;$&quot;\ #,##0_);[Red]_(&quot;$&quot;\ \(#,##0\);_(&quot;$&quot;\ \ &quot;-&quot;??_);_(@_)"/>
    <numFmt numFmtId="211" formatCode="0.0%;[Red]\(0.0%\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u val="single"/>
      <sz val="8"/>
      <name val="Arial"/>
      <family val="2"/>
    </font>
    <font>
      <i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6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7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u val="single"/>
      <sz val="12"/>
      <color indexed="13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539E"/>
      <name val="Arial"/>
      <family val="2"/>
    </font>
    <font>
      <b/>
      <u val="single"/>
      <sz val="12"/>
      <color rgb="FFFFFF00"/>
      <name val="Arial"/>
      <family val="2"/>
    </font>
    <font>
      <i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165" fontId="0" fillId="0" borderId="0" xfId="44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vertical="center"/>
    </xf>
    <xf numFmtId="166" fontId="4" fillId="33" borderId="0" xfId="0" applyNumberFormat="1" applyFont="1" applyFill="1" applyBorder="1" applyAlignment="1">
      <alignment/>
    </xf>
    <xf numFmtId="165" fontId="0" fillId="0" borderId="0" xfId="44" applyNumberFormat="1" applyFont="1" applyFill="1" applyAlignment="1">
      <alignment horizontal="center"/>
    </xf>
    <xf numFmtId="43" fontId="4" fillId="33" borderId="0" xfId="42" applyFont="1" applyFill="1" applyAlignment="1">
      <alignment/>
    </xf>
    <xf numFmtId="0" fontId="4" fillId="33" borderId="0" xfId="0" applyFont="1" applyFill="1" applyAlignment="1">
      <alignment/>
    </xf>
    <xf numFmtId="9" fontId="0" fillId="0" borderId="0" xfId="0" applyNumberFormat="1" applyAlignment="1">
      <alignment/>
    </xf>
    <xf numFmtId="165" fontId="0" fillId="34" borderId="10" xfId="44" applyNumberFormat="1" applyFont="1" applyFill="1" applyBorder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 vertical="center"/>
    </xf>
    <xf numFmtId="165" fontId="0" fillId="35" borderId="10" xfId="44" applyNumberFormat="1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left"/>
    </xf>
    <xf numFmtId="0" fontId="5" fillId="36" borderId="0" xfId="0" applyNumberFormat="1" applyFont="1" applyFill="1" applyBorder="1" applyAlignment="1" applyProtection="1">
      <alignment vertical="center"/>
      <protection/>
    </xf>
    <xf numFmtId="0" fontId="8" fillId="36" borderId="0" xfId="0" applyNumberFormat="1" applyFont="1" applyFill="1" applyBorder="1" applyAlignment="1" applyProtection="1">
      <alignment vertical="center"/>
      <protection/>
    </xf>
    <xf numFmtId="5" fontId="8" fillId="37" borderId="11" xfId="0" applyNumberFormat="1" applyFont="1" applyFill="1" applyBorder="1" applyAlignment="1" applyProtection="1">
      <alignment horizontal="right" vertical="center"/>
      <protection/>
    </xf>
    <xf numFmtId="5" fontId="8" fillId="37" borderId="12" xfId="0" applyNumberFormat="1" applyFont="1" applyFill="1" applyBorder="1" applyAlignment="1" applyProtection="1">
      <alignment horizontal="right" vertical="center"/>
      <protection/>
    </xf>
    <xf numFmtId="181" fontId="8" fillId="35" borderId="13" xfId="0" applyNumberFormat="1" applyFont="1" applyFill="1" applyBorder="1" applyAlignment="1" applyProtection="1">
      <alignment horizontal="left" vertical="center"/>
      <protection/>
    </xf>
    <xf numFmtId="180" fontId="5" fillId="36" borderId="0" xfId="0" applyNumberFormat="1" applyFont="1" applyFill="1" applyBorder="1" applyAlignment="1" applyProtection="1">
      <alignment horizontal="left" vertical="center"/>
      <protection/>
    </xf>
    <xf numFmtId="0" fontId="5" fillId="37" borderId="0" xfId="0" applyNumberFormat="1" applyFont="1" applyFill="1" applyBorder="1" applyAlignment="1" applyProtection="1">
      <alignment vertical="center"/>
      <protection/>
    </xf>
    <xf numFmtId="0" fontId="5" fillId="37" borderId="0" xfId="0" applyNumberFormat="1" applyFont="1" applyFill="1" applyBorder="1" applyAlignment="1" applyProtection="1">
      <alignment horizontal="left" vertical="center"/>
      <protection/>
    </xf>
    <xf numFmtId="0" fontId="8" fillId="37" borderId="0" xfId="0" applyNumberFormat="1" applyFont="1" applyFill="1" applyBorder="1" applyAlignment="1" applyProtection="1">
      <alignment horizontal="right" vertical="center"/>
      <protection/>
    </xf>
    <xf numFmtId="0" fontId="8" fillId="37" borderId="14" xfId="0" applyNumberFormat="1" applyFont="1" applyFill="1" applyBorder="1" applyAlignment="1" applyProtection="1">
      <alignment horizontal="center" vertical="center"/>
      <protection/>
    </xf>
    <xf numFmtId="0" fontId="5" fillId="37" borderId="0" xfId="0" applyNumberFormat="1" applyFont="1" applyFill="1" applyBorder="1" applyAlignment="1" applyProtection="1">
      <alignment horizontal="right" vertical="center"/>
      <protection/>
    </xf>
    <xf numFmtId="9" fontId="8" fillId="37" borderId="14" xfId="0" applyNumberFormat="1" applyFont="1" applyFill="1" applyBorder="1" applyAlignment="1" applyProtection="1">
      <alignment horizontal="center" vertical="center"/>
      <protection/>
    </xf>
    <xf numFmtId="166" fontId="8" fillId="37" borderId="14" xfId="0" applyNumberFormat="1" applyFont="1" applyFill="1" applyBorder="1" applyAlignment="1" applyProtection="1">
      <alignment horizontal="center" vertical="center"/>
      <protection/>
    </xf>
    <xf numFmtId="0" fontId="5" fillId="38" borderId="0" xfId="0" applyNumberFormat="1" applyFont="1" applyFill="1" applyBorder="1" applyAlignment="1" applyProtection="1">
      <alignment vertical="center"/>
      <protection/>
    </xf>
    <xf numFmtId="5" fontId="5" fillId="38" borderId="0" xfId="0" applyNumberFormat="1" applyFont="1" applyFill="1" applyBorder="1" applyAlignment="1" applyProtection="1">
      <alignment horizontal="right" vertical="center"/>
      <protection/>
    </xf>
    <xf numFmtId="166" fontId="8" fillId="38" borderId="0" xfId="0" applyNumberFormat="1" applyFont="1" applyFill="1" applyBorder="1" applyAlignment="1" applyProtection="1">
      <alignment horizontal="center" vertical="center"/>
      <protection/>
    </xf>
    <xf numFmtId="0" fontId="5" fillId="37" borderId="15" xfId="0" applyNumberFormat="1" applyFont="1" applyFill="1" applyBorder="1" applyAlignment="1" applyProtection="1">
      <alignment vertical="center"/>
      <protection/>
    </xf>
    <xf numFmtId="0" fontId="5" fillId="37" borderId="16" xfId="0" applyNumberFormat="1" applyFont="1" applyFill="1" applyBorder="1" applyAlignment="1" applyProtection="1">
      <alignment horizontal="right" vertical="center"/>
      <protection/>
    </xf>
    <xf numFmtId="176" fontId="5" fillId="37" borderId="17" xfId="0" applyNumberFormat="1" applyFont="1" applyFill="1" applyBorder="1" applyAlignment="1" applyProtection="1">
      <alignment horizontal="center" vertical="center"/>
      <protection/>
    </xf>
    <xf numFmtId="177" fontId="9" fillId="36" borderId="0" xfId="0" applyNumberFormat="1" applyFont="1" applyFill="1" applyBorder="1" applyAlignment="1" applyProtection="1">
      <alignment horizontal="center"/>
      <protection/>
    </xf>
    <xf numFmtId="0" fontId="5" fillId="37" borderId="17" xfId="0" applyNumberFormat="1" applyFont="1" applyFill="1" applyBorder="1" applyAlignment="1" applyProtection="1">
      <alignment vertical="center"/>
      <protection/>
    </xf>
    <xf numFmtId="5" fontId="5" fillId="36" borderId="0" xfId="0" applyNumberFormat="1" applyFont="1" applyFill="1" applyBorder="1" applyAlignment="1" applyProtection="1">
      <alignment horizontal="right" vertical="center"/>
      <protection/>
    </xf>
    <xf numFmtId="166" fontId="5" fillId="36" borderId="0" xfId="0" applyNumberFormat="1" applyFont="1" applyFill="1" applyBorder="1" applyAlignment="1" applyProtection="1">
      <alignment horizontal="left" vertical="center"/>
      <protection/>
    </xf>
    <xf numFmtId="0" fontId="5" fillId="37" borderId="18" xfId="0" applyNumberFormat="1" applyFont="1" applyFill="1" applyBorder="1" applyAlignment="1" applyProtection="1">
      <alignment vertical="center"/>
      <protection/>
    </xf>
    <xf numFmtId="176" fontId="5" fillId="37" borderId="19" xfId="0" applyNumberFormat="1" applyFont="1" applyFill="1" applyBorder="1" applyAlignment="1" applyProtection="1">
      <alignment horizontal="center" vertical="center"/>
      <protection/>
    </xf>
    <xf numFmtId="4" fontId="8" fillId="37" borderId="20" xfId="0" applyNumberFormat="1" applyFont="1" applyFill="1" applyBorder="1" applyAlignment="1" applyProtection="1">
      <alignment horizontal="center" vertical="center"/>
      <protection/>
    </xf>
    <xf numFmtId="179" fontId="8" fillId="37" borderId="21" xfId="0" applyNumberFormat="1" applyFont="1" applyFill="1" applyBorder="1" applyAlignment="1" applyProtection="1">
      <alignment horizontal="center" vertical="center"/>
      <protection/>
    </xf>
    <xf numFmtId="0" fontId="9" fillId="36" borderId="0" xfId="0" applyNumberFormat="1" applyFont="1" applyFill="1" applyBorder="1" applyAlignment="1" applyProtection="1">
      <alignment vertical="center"/>
      <protection/>
    </xf>
    <xf numFmtId="0" fontId="8" fillId="37" borderId="22" xfId="0" applyNumberFormat="1" applyFont="1" applyFill="1" applyBorder="1" applyAlignment="1" applyProtection="1">
      <alignment horizontal="left" vertical="center"/>
      <protection/>
    </xf>
    <xf numFmtId="0" fontId="5" fillId="37" borderId="23" xfId="0" applyNumberFormat="1" applyFont="1" applyFill="1" applyBorder="1" applyAlignment="1" applyProtection="1">
      <alignment vertical="center"/>
      <protection/>
    </xf>
    <xf numFmtId="0" fontId="5" fillId="37" borderId="24" xfId="0" applyNumberFormat="1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horizontal="right" vertical="center"/>
    </xf>
    <xf numFmtId="179" fontId="8" fillId="37" borderId="14" xfId="47" applyNumberFormat="1" applyFont="1" applyFill="1" applyBorder="1" applyAlignment="1">
      <alignment horizontal="center" vertical="center"/>
    </xf>
    <xf numFmtId="0" fontId="10" fillId="38" borderId="0" xfId="0" applyNumberFormat="1" applyFont="1" applyFill="1" applyBorder="1" applyAlignment="1" applyProtection="1">
      <alignment horizontal="right"/>
      <protection/>
    </xf>
    <xf numFmtId="5" fontId="9" fillId="38" borderId="0" xfId="0" applyNumberFormat="1" applyFont="1" applyFill="1" applyBorder="1" applyAlignment="1" applyProtection="1">
      <alignment vertical="center"/>
      <protection/>
    </xf>
    <xf numFmtId="7" fontId="5" fillId="36" borderId="0" xfId="0" applyNumberFormat="1" applyFont="1" applyFill="1" applyBorder="1" applyAlignment="1" applyProtection="1">
      <alignment horizontal="left" vertical="center"/>
      <protection/>
    </xf>
    <xf numFmtId="0" fontId="5" fillId="36" borderId="0" xfId="0" applyFont="1" applyFill="1" applyAlignment="1">
      <alignment vertical="center"/>
    </xf>
    <xf numFmtId="5" fontId="8" fillId="37" borderId="0" xfId="0" applyNumberFormat="1" applyFont="1" applyFill="1" applyBorder="1" applyAlignment="1" applyProtection="1">
      <alignment horizontal="right" vertical="center"/>
      <protection/>
    </xf>
    <xf numFmtId="0" fontId="9" fillId="38" borderId="0" xfId="0" applyNumberFormat="1" applyFont="1" applyFill="1" applyBorder="1" applyAlignment="1" applyProtection="1">
      <alignment horizontal="right"/>
      <protection/>
    </xf>
    <xf numFmtId="166" fontId="9" fillId="38" borderId="0" xfId="0" applyNumberFormat="1" applyFont="1" applyFill="1" applyBorder="1" applyAlignment="1" applyProtection="1">
      <alignment vertical="center"/>
      <protection/>
    </xf>
    <xf numFmtId="166" fontId="9" fillId="38" borderId="25" xfId="0" applyNumberFormat="1" applyFont="1" applyFill="1" applyBorder="1" applyAlignment="1" applyProtection="1">
      <alignment vertical="center"/>
      <protection/>
    </xf>
    <xf numFmtId="0" fontId="9" fillId="36" borderId="0" xfId="0" applyNumberFormat="1" applyFont="1" applyFill="1" applyBorder="1" applyAlignment="1" applyProtection="1">
      <alignment horizontal="center" vertical="center"/>
      <protection/>
    </xf>
    <xf numFmtId="5" fontId="9" fillId="36" borderId="26" xfId="0" applyNumberFormat="1" applyFont="1" applyFill="1" applyBorder="1" applyAlignment="1" applyProtection="1">
      <alignment horizontal="center" vertical="center"/>
      <protection/>
    </xf>
    <xf numFmtId="5" fontId="8" fillId="33" borderId="27" xfId="0" applyNumberFormat="1" applyFont="1" applyFill="1" applyBorder="1" applyAlignment="1" applyProtection="1">
      <alignment horizontal="left" vertical="center"/>
      <protection/>
    </xf>
    <xf numFmtId="14" fontId="8" fillId="33" borderId="28" xfId="0" applyNumberFormat="1" applyFont="1" applyFill="1" applyBorder="1" applyAlignment="1" applyProtection="1">
      <alignment horizontal="right" vertical="center"/>
      <protection/>
    </xf>
    <xf numFmtId="166" fontId="8" fillId="33" borderId="29" xfId="0" applyNumberFormat="1" applyFont="1" applyFill="1" applyBorder="1" applyAlignment="1" applyProtection="1">
      <alignment horizontal="center" vertical="center"/>
      <protection/>
    </xf>
    <xf numFmtId="0" fontId="5" fillId="37" borderId="30" xfId="0" applyNumberFormat="1" applyFont="1" applyFill="1" applyBorder="1" applyAlignment="1" applyProtection="1">
      <alignment vertical="center"/>
      <protection/>
    </xf>
    <xf numFmtId="0" fontId="11" fillId="37" borderId="31" xfId="0" applyNumberFormat="1" applyFont="1" applyFill="1" applyBorder="1" applyAlignment="1" applyProtection="1">
      <alignment vertical="center"/>
      <protection/>
    </xf>
    <xf numFmtId="0" fontId="5" fillId="37" borderId="31" xfId="0" applyNumberFormat="1" applyFont="1" applyFill="1" applyBorder="1" applyAlignment="1" applyProtection="1">
      <alignment vertical="center"/>
      <protection/>
    </xf>
    <xf numFmtId="0" fontId="5" fillId="37" borderId="32" xfId="0" applyNumberFormat="1" applyFont="1" applyFill="1" applyBorder="1" applyAlignment="1" applyProtection="1">
      <alignment vertical="center"/>
      <protection/>
    </xf>
    <xf numFmtId="166" fontId="9" fillId="36" borderId="0" xfId="0" applyNumberFormat="1" applyFont="1" applyFill="1" applyBorder="1" applyAlignment="1" applyProtection="1">
      <alignment vertical="center"/>
      <protection/>
    </xf>
    <xf numFmtId="166" fontId="9" fillId="36" borderId="25" xfId="0" applyNumberFormat="1" applyFont="1" applyFill="1" applyBorder="1" applyAlignment="1" applyProtection="1">
      <alignment vertical="center"/>
      <protection/>
    </xf>
    <xf numFmtId="1" fontId="9" fillId="36" borderId="33" xfId="0" applyNumberFormat="1" applyFont="1" applyFill="1" applyBorder="1" applyAlignment="1" applyProtection="1">
      <alignment vertical="center"/>
      <protection/>
    </xf>
    <xf numFmtId="1" fontId="9" fillId="36" borderId="34" xfId="0" applyNumberFormat="1" applyFont="1" applyFill="1" applyBorder="1" applyAlignment="1" applyProtection="1">
      <alignment vertical="center"/>
      <protection/>
    </xf>
    <xf numFmtId="1" fontId="9" fillId="36" borderId="35" xfId="0" applyNumberFormat="1" applyFont="1" applyFill="1" applyBorder="1" applyAlignment="1" applyProtection="1">
      <alignment horizontal="center" vertical="center"/>
      <protection/>
    </xf>
    <xf numFmtId="166" fontId="9" fillId="36" borderId="36" xfId="0" applyNumberFormat="1" applyFont="1" applyFill="1" applyBorder="1" applyAlignment="1" applyProtection="1">
      <alignment horizontal="center" vertical="center"/>
      <protection/>
    </xf>
    <xf numFmtId="5" fontId="5" fillId="38" borderId="37" xfId="0" applyNumberFormat="1" applyFont="1" applyFill="1" applyBorder="1" applyAlignment="1" applyProtection="1">
      <alignment horizontal="right" vertical="center"/>
      <protection/>
    </xf>
    <xf numFmtId="14" fontId="5" fillId="38" borderId="35" xfId="0" applyNumberFormat="1" applyFont="1" applyFill="1" applyBorder="1" applyAlignment="1" applyProtection="1">
      <alignment horizontal="center" vertical="center"/>
      <protection/>
    </xf>
    <xf numFmtId="1" fontId="5" fillId="38" borderId="38" xfId="0" applyNumberFormat="1" applyFont="1" applyFill="1" applyBorder="1" applyAlignment="1" applyProtection="1">
      <alignment horizontal="center" vertical="center"/>
      <protection/>
    </xf>
    <xf numFmtId="0" fontId="8" fillId="39" borderId="39" xfId="0" applyFont="1" applyFill="1" applyBorder="1" applyAlignment="1">
      <alignment horizontal="center"/>
    </xf>
    <xf numFmtId="0" fontId="8" fillId="37" borderId="0" xfId="0" applyNumberFormat="1" applyFont="1" applyFill="1" applyBorder="1" applyAlignment="1" applyProtection="1">
      <alignment vertical="center"/>
      <protection/>
    </xf>
    <xf numFmtId="0" fontId="5" fillId="37" borderId="35" xfId="0" applyNumberFormat="1" applyFont="1" applyFill="1" applyBorder="1" applyAlignment="1" applyProtection="1">
      <alignment vertical="center"/>
      <protection/>
    </xf>
    <xf numFmtId="0" fontId="9" fillId="36" borderId="25" xfId="0" applyNumberFormat="1" applyFont="1" applyFill="1" applyBorder="1" applyAlignment="1" applyProtection="1">
      <alignment vertical="center"/>
      <protection/>
    </xf>
    <xf numFmtId="0" fontId="9" fillId="36" borderId="33" xfId="0" applyNumberFormat="1" applyFont="1" applyFill="1" applyBorder="1" applyAlignment="1" applyProtection="1">
      <alignment vertical="center"/>
      <protection/>
    </xf>
    <xf numFmtId="0" fontId="8" fillId="36" borderId="40" xfId="0" applyNumberFormat="1" applyFont="1" applyFill="1" applyBorder="1" applyAlignment="1" applyProtection="1">
      <alignment vertical="center"/>
      <protection/>
    </xf>
    <xf numFmtId="0" fontId="5" fillId="36" borderId="40" xfId="0" applyNumberFormat="1" applyFont="1" applyFill="1" applyBorder="1" applyAlignment="1" applyProtection="1">
      <alignment vertical="center"/>
      <protection/>
    </xf>
    <xf numFmtId="0" fontId="9" fillId="36" borderId="40" xfId="0" applyNumberFormat="1" applyFont="1" applyFill="1" applyBorder="1" applyAlignment="1" applyProtection="1">
      <alignment vertical="center"/>
      <protection/>
    </xf>
    <xf numFmtId="6" fontId="8" fillId="35" borderId="41" xfId="0" applyNumberFormat="1" applyFont="1" applyFill="1" applyBorder="1" applyAlignment="1" applyProtection="1">
      <alignment horizontal="right" vertical="center"/>
      <protection/>
    </xf>
    <xf numFmtId="182" fontId="8" fillId="37" borderId="42" xfId="0" applyNumberFormat="1" applyFont="1" applyFill="1" applyBorder="1" applyAlignment="1" applyProtection="1">
      <alignment horizontal="right" vertical="center"/>
      <protection/>
    </xf>
    <xf numFmtId="2" fontId="5" fillId="36" borderId="43" xfId="0" applyNumberFormat="1" applyFont="1" applyFill="1" applyBorder="1" applyAlignment="1" applyProtection="1">
      <alignment horizontal="center" vertical="center"/>
      <protection/>
    </xf>
    <xf numFmtId="5" fontId="9" fillId="36" borderId="0" xfId="0" applyNumberFormat="1" applyFont="1" applyFill="1" applyBorder="1" applyAlignment="1" applyProtection="1">
      <alignment vertical="center"/>
      <protection/>
    </xf>
    <xf numFmtId="5" fontId="9" fillId="36" borderId="25" xfId="0" applyNumberFormat="1" applyFont="1" applyFill="1" applyBorder="1" applyAlignment="1" applyProtection="1">
      <alignment vertical="center"/>
      <protection/>
    </xf>
    <xf numFmtId="1" fontId="9" fillId="36" borderId="30" xfId="0" applyNumberFormat="1" applyFont="1" applyFill="1" applyBorder="1" applyAlignment="1" applyProtection="1">
      <alignment vertical="center"/>
      <protection/>
    </xf>
    <xf numFmtId="1" fontId="9" fillId="36" borderId="32" xfId="0" applyNumberFormat="1" applyFont="1" applyFill="1" applyBorder="1" applyAlignment="1" applyProtection="1">
      <alignment vertical="center"/>
      <protection/>
    </xf>
    <xf numFmtId="1" fontId="9" fillId="36" borderId="31" xfId="0" applyNumberFormat="1" applyFont="1" applyFill="1" applyBorder="1" applyAlignment="1" applyProtection="1">
      <alignment vertical="center"/>
      <protection/>
    </xf>
    <xf numFmtId="178" fontId="9" fillId="36" borderId="0" xfId="0" applyNumberFormat="1" applyFont="1" applyFill="1" applyBorder="1" applyAlignment="1" applyProtection="1">
      <alignment horizontal="center" vertical="center"/>
      <protection/>
    </xf>
    <xf numFmtId="5" fontId="9" fillId="36" borderId="26" xfId="0" applyNumberFormat="1" applyFont="1" applyFill="1" applyBorder="1" applyAlignment="1" applyProtection="1">
      <alignment vertical="center"/>
      <protection/>
    </xf>
    <xf numFmtId="6" fontId="8" fillId="35" borderId="44" xfId="0" applyNumberFormat="1" applyFont="1" applyFill="1" applyBorder="1" applyAlignment="1" applyProtection="1">
      <alignment horizontal="right" vertical="center"/>
      <protection/>
    </xf>
    <xf numFmtId="182" fontId="8" fillId="37" borderId="45" xfId="0" applyNumberFormat="1" applyFont="1" applyFill="1" applyBorder="1" applyAlignment="1" applyProtection="1">
      <alignment horizontal="right" vertical="center"/>
      <protection/>
    </xf>
    <xf numFmtId="0" fontId="8" fillId="37" borderId="39" xfId="0" applyFont="1" applyFill="1" applyBorder="1" applyAlignment="1">
      <alignment horizontal="center"/>
    </xf>
    <xf numFmtId="1" fontId="9" fillId="36" borderId="39" xfId="0" applyNumberFormat="1" applyFont="1" applyFill="1" applyBorder="1" applyAlignment="1" applyProtection="1">
      <alignment vertical="center"/>
      <protection/>
    </xf>
    <xf numFmtId="1" fontId="9" fillId="36" borderId="35" xfId="0" applyNumberFormat="1" applyFont="1" applyFill="1" applyBorder="1" applyAlignment="1" applyProtection="1">
      <alignment vertical="center"/>
      <protection/>
    </xf>
    <xf numFmtId="1" fontId="9" fillId="36" borderId="0" xfId="0" applyNumberFormat="1" applyFont="1" applyFill="1" applyBorder="1" applyAlignment="1" applyProtection="1">
      <alignment vertical="center"/>
      <protection/>
    </xf>
    <xf numFmtId="0" fontId="5" fillId="37" borderId="39" xfId="0" applyNumberFormat="1" applyFont="1" applyFill="1" applyBorder="1" applyAlignment="1" applyProtection="1">
      <alignment horizontal="center"/>
      <protection/>
    </xf>
    <xf numFmtId="0" fontId="12" fillId="37" borderId="0" xfId="0" applyNumberFormat="1" applyFont="1" applyFill="1" applyBorder="1" applyAlignment="1" applyProtection="1">
      <alignment vertical="center"/>
      <protection/>
    </xf>
    <xf numFmtId="0" fontId="8" fillId="33" borderId="46" xfId="0" applyFont="1" applyFill="1" applyBorder="1" applyAlignment="1">
      <alignment horizontal="left" vertical="center"/>
    </xf>
    <xf numFmtId="0" fontId="5" fillId="33" borderId="47" xfId="0" applyNumberFormat="1" applyFont="1" applyFill="1" applyBorder="1" applyAlignment="1" applyProtection="1">
      <alignment vertical="center"/>
      <protection/>
    </xf>
    <xf numFmtId="0" fontId="5" fillId="33" borderId="48" xfId="0" applyNumberFormat="1" applyFont="1" applyFill="1" applyBorder="1" applyAlignment="1" applyProtection="1">
      <alignment vertical="center"/>
      <protection/>
    </xf>
    <xf numFmtId="5" fontId="13" fillId="37" borderId="39" xfId="0" applyNumberFormat="1" applyFont="1" applyFill="1" applyBorder="1" applyAlignment="1" applyProtection="1">
      <alignment horizontal="left" vertical="center"/>
      <protection/>
    </xf>
    <xf numFmtId="5" fontId="14" fillId="37" borderId="39" xfId="0" applyNumberFormat="1" applyFont="1" applyFill="1" applyBorder="1" applyAlignment="1" applyProtection="1">
      <alignment horizontal="left" vertical="center"/>
      <protection/>
    </xf>
    <xf numFmtId="0" fontId="14" fillId="37" borderId="39" xfId="0" applyNumberFormat="1" applyFont="1" applyFill="1" applyBorder="1" applyAlignment="1" applyProtection="1">
      <alignment horizontal="left" vertical="center"/>
      <protection/>
    </xf>
    <xf numFmtId="0" fontId="14" fillId="37" borderId="39" xfId="0" applyNumberFormat="1" applyFont="1" applyFill="1" applyBorder="1" applyAlignment="1" applyProtection="1">
      <alignment vertical="center"/>
      <protection/>
    </xf>
    <xf numFmtId="0" fontId="5" fillId="37" borderId="39" xfId="0" applyNumberFormat="1" applyFont="1" applyFill="1" applyBorder="1" applyAlignment="1" applyProtection="1">
      <alignment vertical="center"/>
      <protection/>
    </xf>
    <xf numFmtId="0" fontId="5" fillId="39" borderId="39" xfId="0" applyNumberFormat="1" applyFont="1" applyFill="1" applyBorder="1" applyAlignment="1" applyProtection="1">
      <alignment vertical="center"/>
      <protection/>
    </xf>
    <xf numFmtId="0" fontId="5" fillId="39" borderId="0" xfId="0" applyNumberFormat="1" applyFont="1" applyFill="1" applyBorder="1" applyAlignment="1" applyProtection="1">
      <alignment vertical="center"/>
      <protection/>
    </xf>
    <xf numFmtId="166" fontId="8" fillId="39" borderId="0" xfId="0" applyNumberFormat="1" applyFont="1" applyFill="1" applyBorder="1" applyAlignment="1" applyProtection="1">
      <alignment horizontal="left"/>
      <protection/>
    </xf>
    <xf numFmtId="5" fontId="5" fillId="37" borderId="0" xfId="0" applyNumberFormat="1" applyFont="1" applyFill="1" applyBorder="1" applyAlignment="1" applyProtection="1">
      <alignment horizontal="right" vertical="center"/>
      <protection/>
    </xf>
    <xf numFmtId="14" fontId="5" fillId="37" borderId="0" xfId="0" applyNumberFormat="1" applyFont="1" applyFill="1" applyBorder="1" applyAlignment="1" applyProtection="1">
      <alignment horizontal="right" vertical="center"/>
      <protection/>
    </xf>
    <xf numFmtId="1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Alignment="1">
      <alignment/>
    </xf>
    <xf numFmtId="44" fontId="4" fillId="33" borderId="0" xfId="44" applyFont="1" applyFill="1" applyBorder="1" applyAlignment="1">
      <alignment/>
    </xf>
    <xf numFmtId="166" fontId="4" fillId="33" borderId="0" xfId="62" applyNumberFormat="1" applyFont="1" applyFill="1" applyBorder="1" applyAlignment="1">
      <alignment/>
    </xf>
    <xf numFmtId="10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5" fontId="3" fillId="35" borderId="10" xfId="44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65" fontId="0" fillId="0" borderId="0" xfId="44" applyNumberFormat="1" applyAlignment="1">
      <alignment/>
    </xf>
    <xf numFmtId="9" fontId="0" fillId="0" borderId="0" xfId="62" applyAlignment="1">
      <alignment/>
    </xf>
    <xf numFmtId="165" fontId="3" fillId="34" borderId="36" xfId="44" applyNumberFormat="1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165" fontId="3" fillId="35" borderId="36" xfId="44" applyNumberFormat="1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165" fontId="0" fillId="35" borderId="33" xfId="0" applyNumberFormat="1" applyFont="1" applyFill="1" applyBorder="1" applyAlignment="1">
      <alignment horizontal="center" vertical="center"/>
    </xf>
    <xf numFmtId="165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62" applyFont="1" applyFill="1" applyBorder="1" applyAlignment="1">
      <alignment/>
    </xf>
    <xf numFmtId="165" fontId="0" fillId="0" borderId="50" xfId="44" applyNumberFormat="1" applyFont="1" applyFill="1" applyBorder="1" applyAlignment="1">
      <alignment/>
    </xf>
    <xf numFmtId="0" fontId="0" fillId="0" borderId="50" xfId="0" applyFill="1" applyBorder="1" applyAlignment="1">
      <alignment/>
    </xf>
    <xf numFmtId="9" fontId="0" fillId="0" borderId="50" xfId="62" applyFont="1" applyFill="1" applyBorder="1" applyAlignment="1">
      <alignment/>
    </xf>
    <xf numFmtId="9" fontId="0" fillId="33" borderId="0" xfId="0" applyNumberFormat="1" applyFill="1" applyAlignment="1">
      <alignment/>
    </xf>
    <xf numFmtId="165" fontId="3" fillId="0" borderId="51" xfId="44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9" fontId="3" fillId="0" borderId="51" xfId="62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right"/>
      <protection hidden="1"/>
    </xf>
    <xf numFmtId="9" fontId="4" fillId="0" borderId="0" xfId="62" applyFont="1" applyFill="1" applyBorder="1" applyAlignment="1" applyProtection="1">
      <alignment horizontal="center"/>
      <protection hidden="1"/>
    </xf>
    <xf numFmtId="0" fontId="3" fillId="0" borderId="52" xfId="0" applyFont="1" applyBorder="1" applyAlignment="1">
      <alignment horizontal="right" vertical="center" wrapText="1"/>
    </xf>
    <xf numFmtId="166" fontId="3" fillId="35" borderId="53" xfId="6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7" fillId="0" borderId="10" xfId="0" applyFont="1" applyFill="1" applyBorder="1" applyAlignment="1" applyProtection="1">
      <alignment horizontal="right"/>
      <protection hidden="1"/>
    </xf>
    <xf numFmtId="206" fontId="4" fillId="40" borderId="10" xfId="0" applyNumberFormat="1" applyFont="1" applyFill="1" applyBorder="1" applyAlignment="1" applyProtection="1">
      <alignment horizontal="center"/>
      <protection hidden="1"/>
    </xf>
    <xf numFmtId="0" fontId="7" fillId="0" borderId="26" xfId="0" applyFont="1" applyFill="1" applyBorder="1" applyAlignment="1" applyProtection="1">
      <alignment horizontal="right"/>
      <protection hidden="1"/>
    </xf>
    <xf numFmtId="9" fontId="4" fillId="40" borderId="26" xfId="62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54" xfId="0" applyFont="1" applyBorder="1" applyAlignment="1">
      <alignment horizontal="right" vertical="center"/>
    </xf>
    <xf numFmtId="0" fontId="3" fillId="35" borderId="55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right" vertical="center" wrapText="1"/>
      <protection hidden="1"/>
    </xf>
    <xf numFmtId="0" fontId="3" fillId="35" borderId="57" xfId="0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right" vertical="center" wrapText="1"/>
      <protection hidden="1"/>
    </xf>
    <xf numFmtId="6" fontId="3" fillId="35" borderId="57" xfId="46" applyNumberFormat="1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>
      <alignment horizontal="right" vertical="center" wrapText="1"/>
    </xf>
    <xf numFmtId="9" fontId="3" fillId="35" borderId="57" xfId="62" applyFont="1" applyFill="1" applyBorder="1" applyAlignment="1" applyProtection="1">
      <alignment horizontal="center" vertical="center"/>
      <protection locked="0"/>
    </xf>
    <xf numFmtId="211" fontId="3" fillId="35" borderId="57" xfId="0" applyNumberFormat="1" applyFont="1" applyFill="1" applyBorder="1" applyAlignment="1" applyProtection="1">
      <alignment horizontal="center" vertical="center"/>
      <protection locked="0"/>
    </xf>
    <xf numFmtId="166" fontId="3" fillId="35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Font="1" applyBorder="1" applyAlignment="1">
      <alignment horizontal="right" vertical="center"/>
    </xf>
    <xf numFmtId="166" fontId="3" fillId="35" borderId="59" xfId="62" applyNumberFormat="1" applyFont="1" applyFill="1" applyBorder="1" applyAlignment="1" applyProtection="1">
      <alignment horizontal="center" vertical="center"/>
      <protection locked="0"/>
    </xf>
    <xf numFmtId="166" fontId="4" fillId="39" borderId="0" xfId="0" applyNumberFormat="1" applyFont="1" applyFill="1" applyBorder="1" applyAlignment="1">
      <alignment/>
    </xf>
    <xf numFmtId="0" fontId="22" fillId="0" borderId="10" xfId="0" applyFont="1" applyFill="1" applyBorder="1" applyAlignment="1" applyProtection="1">
      <alignment horizontal="right" vertical="center"/>
      <protection hidden="1"/>
    </xf>
    <xf numFmtId="6" fontId="3" fillId="35" borderId="10" xfId="0" applyNumberFormat="1" applyFont="1" applyFill="1" applyBorder="1" applyAlignment="1" applyProtection="1">
      <alignment horizontal="center" vertical="center"/>
      <protection hidden="1"/>
    </xf>
    <xf numFmtId="6" fontId="3" fillId="35" borderId="10" xfId="44" applyNumberFormat="1" applyFont="1" applyFill="1" applyBorder="1" applyAlignment="1" applyProtection="1">
      <alignment horizontal="center" vertical="center"/>
      <protection hidden="1"/>
    </xf>
    <xf numFmtId="209" fontId="3" fillId="35" borderId="10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>
      <alignment horizontal="right" vertical="center" wrapText="1"/>
      <protection hidden="1"/>
    </xf>
    <xf numFmtId="166" fontId="3" fillId="35" borderId="10" xfId="62" applyNumberFormat="1" applyFont="1" applyFill="1" applyBorder="1" applyAlignment="1" applyProtection="1">
      <alignment horizontal="center" vertical="center"/>
      <protection hidden="1"/>
    </xf>
    <xf numFmtId="0" fontId="32" fillId="0" borderId="0" xfId="55" applyFont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59">
      <alignment/>
      <protection/>
    </xf>
    <xf numFmtId="6" fontId="53" fillId="0" borderId="10" xfId="59" applyNumberFormat="1" applyBorder="1">
      <alignment/>
      <protection/>
    </xf>
    <xf numFmtId="0" fontId="53" fillId="0" borderId="10" xfId="59" applyBorder="1">
      <alignment/>
      <protection/>
    </xf>
    <xf numFmtId="9" fontId="53" fillId="0" borderId="0" xfId="59" applyNumberFormat="1">
      <alignment/>
      <protection/>
    </xf>
    <xf numFmtId="0" fontId="22" fillId="0" borderId="0" xfId="0" applyFont="1" applyAlignment="1">
      <alignment horizontal="left" vertical="center"/>
    </xf>
    <xf numFmtId="9" fontId="53" fillId="41" borderId="0" xfId="59" applyNumberFormat="1" applyFill="1">
      <alignment/>
      <protection/>
    </xf>
    <xf numFmtId="9" fontId="68" fillId="41" borderId="0" xfId="59" applyNumberFormat="1" applyFont="1" applyFill="1">
      <alignment/>
      <protection/>
    </xf>
    <xf numFmtId="0" fontId="53" fillId="0" borderId="0" xfId="59" applyAlignment="1">
      <alignment horizontal="right"/>
      <protection/>
    </xf>
    <xf numFmtId="0" fontId="70" fillId="0" borderId="0" xfId="0" applyFont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60" xfId="0" applyFont="1" applyFill="1" applyBorder="1" applyAlignment="1">
      <alignment horizontal="center" vertical="center" wrapText="1"/>
    </xf>
    <xf numFmtId="0" fontId="24" fillId="33" borderId="61" xfId="0" applyFont="1" applyFill="1" applyBorder="1" applyAlignment="1">
      <alignment horizontal="center" vertical="center" wrapText="1"/>
    </xf>
    <xf numFmtId="0" fontId="71" fillId="42" borderId="62" xfId="55" applyFont="1" applyFill="1" applyBorder="1" applyAlignment="1" applyProtection="1">
      <alignment horizontal="center" vertical="center" wrapText="1"/>
      <protection/>
    </xf>
    <xf numFmtId="0" fontId="71" fillId="42" borderId="63" xfId="55" applyFont="1" applyFill="1" applyBorder="1" applyAlignment="1" applyProtection="1">
      <alignment horizontal="center" vertical="center" wrapText="1"/>
      <protection/>
    </xf>
    <xf numFmtId="0" fontId="21" fillId="33" borderId="36" xfId="0" applyFont="1" applyFill="1" applyBorder="1" applyAlignment="1" applyProtection="1">
      <alignment horizontal="center"/>
      <protection hidden="1"/>
    </xf>
    <xf numFmtId="165" fontId="3" fillId="33" borderId="60" xfId="44" applyNumberFormat="1" applyFont="1" applyFill="1" applyBorder="1" applyAlignment="1">
      <alignment horizontal="center"/>
    </xf>
    <xf numFmtId="165" fontId="3" fillId="33" borderId="64" xfId="44" applyNumberFormat="1" applyFont="1" applyFill="1" applyBorder="1" applyAlignment="1">
      <alignment horizontal="center"/>
    </xf>
    <xf numFmtId="165" fontId="3" fillId="33" borderId="61" xfId="44" applyNumberFormat="1" applyFont="1" applyFill="1" applyBorder="1" applyAlignment="1">
      <alignment horizontal="center"/>
    </xf>
    <xf numFmtId="165" fontId="3" fillId="43" borderId="60" xfId="44" applyNumberFormat="1" applyFont="1" applyFill="1" applyBorder="1" applyAlignment="1">
      <alignment horizontal="center"/>
    </xf>
    <xf numFmtId="165" fontId="3" fillId="43" borderId="64" xfId="44" applyNumberFormat="1" applyFont="1" applyFill="1" applyBorder="1" applyAlignment="1">
      <alignment horizontal="center"/>
    </xf>
    <xf numFmtId="165" fontId="3" fillId="43" borderId="61" xfId="44" applyNumberFormat="1" applyFont="1" applyFill="1" applyBorder="1" applyAlignment="1">
      <alignment horizontal="center"/>
    </xf>
    <xf numFmtId="165" fontId="3" fillId="0" borderId="0" xfId="44" applyNumberFormat="1" applyFont="1" applyAlignment="1">
      <alignment horizontal="center"/>
    </xf>
    <xf numFmtId="0" fontId="68" fillId="0" borderId="10" xfId="59" applyFont="1" applyBorder="1" applyAlignment="1">
      <alignment horizontal="center" wrapText="1"/>
      <protection/>
    </xf>
    <xf numFmtId="0" fontId="53" fillId="0" borderId="0" xfId="59" applyFill="1">
      <alignment/>
      <protection/>
    </xf>
    <xf numFmtId="9" fontId="53" fillId="0" borderId="0" xfId="59" applyNumberFormat="1" applyFill="1">
      <alignment/>
      <protection/>
    </xf>
    <xf numFmtId="6" fontId="53" fillId="0" borderId="0" xfId="59" applyNumberFormat="1" applyFill="1">
      <alignment/>
      <protection/>
    </xf>
    <xf numFmtId="0" fontId="68" fillId="0" borderId="0" xfId="59" applyFont="1">
      <alignment/>
      <protection/>
    </xf>
    <xf numFmtId="0" fontId="72" fillId="0" borderId="0" xfId="59" applyFont="1" applyAlignment="1">
      <alignment horizontal="left"/>
      <protection/>
    </xf>
    <xf numFmtId="0" fontId="72" fillId="0" borderId="0" xfId="59" applyFont="1" applyAlignment="1">
      <alignment horizontal="left" vertical="top"/>
      <protection/>
    </xf>
    <xf numFmtId="0" fontId="68" fillId="0" borderId="40" xfId="59" applyFont="1" applyBorder="1" applyAlignment="1">
      <alignment horizontal="center"/>
      <protection/>
    </xf>
    <xf numFmtId="0" fontId="68" fillId="4" borderId="10" xfId="59" applyFont="1" applyFill="1" applyBorder="1" applyAlignment="1">
      <alignment horizontal="center" wrapText="1"/>
      <protection/>
    </xf>
    <xf numFmtId="6" fontId="53" fillId="4" borderId="10" xfId="59" applyNumberFormat="1" applyFill="1" applyBorder="1">
      <alignment/>
      <protection/>
    </xf>
    <xf numFmtId="0" fontId="68" fillId="6" borderId="10" xfId="59" applyFont="1" applyFill="1" applyBorder="1" applyAlignment="1">
      <alignment horizontal="center" wrapText="1"/>
      <protection/>
    </xf>
    <xf numFmtId="6" fontId="53" fillId="6" borderId="10" xfId="59" applyNumberFormat="1" applyFill="1" applyBorder="1">
      <alignment/>
      <protection/>
    </xf>
    <xf numFmtId="6" fontId="53" fillId="4" borderId="0" xfId="59" applyNumberForma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Calculator for Gains V2" xfId="46"/>
    <cellStyle name="Currency_CIH_Calculator_GUT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'ROR-1'!$O$6:$U$6</c:f>
              <c:numCache/>
            </c:numRef>
          </c:xVal>
          <c:yVal>
            <c:numRef>
              <c:f>'ROR-1'!$O$5:$U$5</c:f>
              <c:numCache/>
            </c:numRef>
          </c:yVal>
          <c:smooth val="1"/>
        </c:ser>
        <c:axId val="24481230"/>
        <c:axId val="19004479"/>
      </c:scatterChart>
      <c:valAx>
        <c:axId val="244812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4479"/>
        <c:crosses val="autoZero"/>
        <c:crossBetween val="midCat"/>
        <c:dispUnits/>
      </c:valAx>
      <c:valAx>
        <c:axId val="190044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customerservice@compassinvestors.com?subject=I%20have%20a%20question/problem%20with%20the%20Retirement%20Goal%20Calculator" TargetMode="External" /><Relationship Id="rId3" Type="http://schemas.openxmlformats.org/officeDocument/2006/relationships/hyperlink" Target="mailto:customerservice@compassinvestors.com?subject=I%20have%20a%20question/problem%20with%20the%20Retirement%20Goal%20Calculator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www.compassinvestors.com/survey.php" TargetMode="External" /><Relationship Id="rId6" Type="http://schemas.openxmlformats.org/officeDocument/2006/relationships/hyperlink" Target="https://www.compassinvestors.com/survey.ph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209550</xdr:colOff>
      <xdr:row>2</xdr:row>
      <xdr:rowOff>9525</xdr:rowOff>
    </xdr:to>
    <xdr:pic>
      <xdr:nvPicPr>
        <xdr:cNvPr id="1" name="Picture 5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38100</xdr:rowOff>
    </xdr:from>
    <xdr:to>
      <xdr:col>0</xdr:col>
      <xdr:colOff>209550</xdr:colOff>
      <xdr:row>3</xdr:row>
      <xdr:rowOff>28575</xdr:rowOff>
    </xdr:to>
    <xdr:pic>
      <xdr:nvPicPr>
        <xdr:cNvPr id="2" name="Picture 5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09600"/>
          <a:ext cx="1809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0.02275</cdr:y>
    </cdr:from>
    <cdr:to>
      <cdr:x>0.35325</cdr:x>
      <cdr:y>0.10975</cdr:y>
    </cdr:to>
    <cdr:sp textlink="'ROR-1'!$P$4">
      <cdr:nvSpPr>
        <cdr:cNvPr id="1" name="Text Box 1"/>
        <cdr:cNvSpPr txBox="1">
          <a:spLocks noChangeArrowheads="1"/>
        </cdr:cNvSpPr>
      </cdr:nvSpPr>
      <cdr:spPr>
        <a:xfrm>
          <a:off x="19050" y="57150"/>
          <a:ext cx="1123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a82351e4-b098-4f70-9276-c53650a8a0e1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Error vs Rate of Return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6</xdr:row>
      <xdr:rowOff>85725</xdr:rowOff>
    </xdr:from>
    <xdr:to>
      <xdr:col>20</xdr:col>
      <xdr:colOff>333375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8763000" y="1123950"/>
        <a:ext cx="32480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22</xdr:row>
      <xdr:rowOff>76200</xdr:rowOff>
    </xdr:from>
    <xdr:to>
      <xdr:col>11</xdr:col>
      <xdr:colOff>390525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848350" y="3590925"/>
          <a:ext cx="1143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stomerservice@compassinvestors.com?subject=I%20have%20a%20question/problem%20with%20the%20Retirement%20Goal%20Calculator" TargetMode="External" /><Relationship Id="rId2" Type="http://schemas.openxmlformats.org/officeDocument/2006/relationships/hyperlink" Target="https://www.compassinvestors.com/survey.php" TargetMode="External" /><Relationship Id="rId3" Type="http://schemas.openxmlformats.org/officeDocument/2006/relationships/hyperlink" Target="https://www.compassinvestors.com/survey.ph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showOutlineSymbols="0" zoomScalePageLayoutView="0" workbookViewId="0" topLeftCell="A1">
      <selection activeCell="A1" sqref="A1:B1"/>
    </sheetView>
  </sheetViews>
  <sheetFormatPr defaultColWidth="9.140625" defaultRowHeight="12.75"/>
  <cols>
    <col min="1" max="1" width="76.28125" style="0" customWidth="1"/>
    <col min="2" max="2" width="12.7109375" style="0" customWidth="1"/>
    <col min="3" max="3" width="25.7109375" style="154" customWidth="1"/>
  </cols>
  <sheetData>
    <row r="1" spans="1:3" s="185" customFormat="1" ht="30" customHeight="1">
      <c r="A1" s="194" t="s">
        <v>107</v>
      </c>
      <c r="B1" s="194"/>
      <c r="C1" s="184"/>
    </row>
    <row r="2" ht="15" customHeight="1">
      <c r="A2" s="183" t="s">
        <v>109</v>
      </c>
    </row>
    <row r="3" ht="15" customHeight="1">
      <c r="A3" s="183" t="s">
        <v>113</v>
      </c>
    </row>
    <row r="4" ht="4.5" customHeight="1" thickBot="1"/>
    <row r="5" spans="1:3" ht="19.5" customHeight="1">
      <c r="A5" s="164" t="s">
        <v>95</v>
      </c>
      <c r="B5" s="165">
        <v>35</v>
      </c>
      <c r="C5" s="162" t="s">
        <v>110</v>
      </c>
    </row>
    <row r="6" spans="1:3" ht="19.5" customHeight="1">
      <c r="A6" s="166" t="s">
        <v>96</v>
      </c>
      <c r="B6" s="167">
        <v>65</v>
      </c>
      <c r="C6" s="160"/>
    </row>
    <row r="7" spans="1:3" ht="19.5" customHeight="1">
      <c r="A7" s="168" t="s">
        <v>97</v>
      </c>
      <c r="B7" s="169">
        <v>45000</v>
      </c>
      <c r="C7" s="160"/>
    </row>
    <row r="8" spans="1:3" ht="19.5" customHeight="1">
      <c r="A8" s="168" t="s">
        <v>98</v>
      </c>
      <c r="B8" s="169">
        <v>10000</v>
      </c>
      <c r="C8" s="160"/>
    </row>
    <row r="9" spans="1:3" ht="30" customHeight="1">
      <c r="A9" s="170" t="s">
        <v>99</v>
      </c>
      <c r="B9" s="171">
        <v>1</v>
      </c>
      <c r="C9" s="160"/>
    </row>
    <row r="10" spans="1:3" ht="75" customHeight="1">
      <c r="A10" s="168" t="s">
        <v>112</v>
      </c>
      <c r="B10" s="172">
        <v>0.07</v>
      </c>
      <c r="C10" s="160"/>
    </row>
    <row r="11" spans="1:3" ht="30" customHeight="1">
      <c r="A11" s="168" t="s">
        <v>100</v>
      </c>
      <c r="B11" s="173">
        <v>0.09</v>
      </c>
      <c r="C11" s="160"/>
    </row>
    <row r="12" spans="1:3" ht="30" customHeight="1">
      <c r="A12" s="168" t="s">
        <v>101</v>
      </c>
      <c r="B12" s="173">
        <v>0</v>
      </c>
      <c r="C12" s="160"/>
    </row>
    <row r="13" spans="1:3" ht="19.5" customHeight="1" thickBot="1">
      <c r="A13" s="174" t="s">
        <v>102</v>
      </c>
      <c r="B13" s="175">
        <v>0.03</v>
      </c>
      <c r="C13" s="160"/>
    </row>
    <row r="14" spans="1:2" ht="30" customHeight="1" hidden="1">
      <c r="A14" s="151" t="s">
        <v>94</v>
      </c>
      <c r="B14" s="152">
        <v>0.03</v>
      </c>
    </row>
    <row r="15" ht="12.75" customHeight="1">
      <c r="A15" s="153" t="s">
        <v>104</v>
      </c>
    </row>
    <row r="16" ht="4.5" customHeight="1" thickBot="1">
      <c r="A16" s="153"/>
    </row>
    <row r="17" spans="1:2" ht="28.5" customHeight="1" thickBot="1">
      <c r="A17" s="196" t="s">
        <v>108</v>
      </c>
      <c r="B17" s="197"/>
    </row>
    <row r="18" ht="12.75" customHeight="1">
      <c r="A18" s="153"/>
    </row>
    <row r="19" spans="1:2" ht="14.25">
      <c r="A19" s="195" t="str">
        <f>"At your expected retirement age of "&amp;TEXT(Questions!$B$6,"0")&amp;"..."</f>
        <v>At your expected retirement age of 65...</v>
      </c>
      <c r="B19" s="195"/>
    </row>
    <row r="20" spans="1:3" ht="12.75">
      <c r="A20" s="177" t="s">
        <v>92</v>
      </c>
      <c r="B20" s="178">
        <f>IF(ISERROR('Ranges and Data'!$A$11),"",ROUND('Ranges and Data'!$A$11,-3))</f>
        <v>106000</v>
      </c>
      <c r="C20" s="161"/>
    </row>
    <row r="21" spans="1:3" ht="12.75">
      <c r="A21" s="177" t="s">
        <v>93</v>
      </c>
      <c r="B21" s="178">
        <f>IF(ISERROR('Ranges and Data'!$A$12),"",ROUND('Ranges and Data'!$A$12,-3))</f>
        <v>2121000</v>
      </c>
      <c r="C21" s="161"/>
    </row>
    <row r="22" spans="1:3" ht="14.25">
      <c r="A22" s="195" t="str">
        <f>"Where you can expect to be with your current AAR of "&amp;TEXT(Questions!B10,"0.0%")&amp;" at age "&amp;TEXT(Questions!$B$6,"0")&amp;" *..."</f>
        <v>Where you can expect to be with your current AAR of 7.0% at age 65 *...</v>
      </c>
      <c r="B22" s="195"/>
      <c r="C22" s="161"/>
    </row>
    <row r="23" spans="1:3" ht="12.75">
      <c r="A23" s="177" t="s">
        <v>91</v>
      </c>
      <c r="B23" s="178">
        <f>IF(ISERROR(B21+B24),"",IF(VLOOKUP('Ranges and Data'!$A$6,DATABASE,11,FALSE)&lt;0,ROUND(B21+B24,-3),ROUND(B21-B24,-3)))</f>
        <v>620000</v>
      </c>
      <c r="C23" s="190" t="str">
        <f>"Money runs out at age: "&amp;TEXT(VLOOKUP("CIH Goal",AfterRetirement!B12:J113,2,FALSE),"00")&amp;"; Multiple of Final Salary = "&amp;TEXT(B23/B20,"0.0")</f>
        <v>Money runs out at age: 72; Multiple of Final Salary = 5.8</v>
      </c>
    </row>
    <row r="24" spans="1:3" ht="12.75">
      <c r="A24" s="177" t="s">
        <v>103</v>
      </c>
      <c r="B24" s="179">
        <f>IF(ISERROR(-VLOOKUP('Ranges and Data'!$A$6,DATABASE,11,FALSE)),"",IF(VLOOKUP('Ranges and Data'!$A$6,DATABASE,11,FALSE)&lt;0,ROUND(-VLOOKUP('Ranges and Data'!$A$6,DATABASE,11,FALSE),-3),ROUND(VLOOKUP('Ranges and Data'!$A$6,DATABASE,11,FALSE),-3)))</f>
        <v>1501000</v>
      </c>
      <c r="C24" s="163" t="str">
        <f>IF(ISERROR(-VLOOKUP('Ranges and Data'!$A$6,DATABASE,11,FALSE)),"",IF(VLOOKUP('Ranges and Data'!$A$6,DATABASE,11,FALSE)&lt;0,"Excess","Shortfall*"))</f>
        <v>Shortfall*</v>
      </c>
    </row>
    <row r="25" spans="1:3" ht="12.75">
      <c r="A25" s="177" t="str">
        <f>"Your age when your Needed Plan Value would be reached:"</f>
        <v>Your age when your Needed Plan Value would be reached:</v>
      </c>
      <c r="B25" s="180">
        <f>IF(ISERROR('Ranges and Data'!$A$16),"",('Ranges and Data'!$A$16))</f>
        <v>91</v>
      </c>
      <c r="C25" s="161"/>
    </row>
    <row r="26" spans="1:3" ht="12.75">
      <c r="A26" s="181" t="str">
        <f>"To reach your Needed Plan Value you will need to work:"</f>
        <v>To reach your Needed Plan Value you will need to work:</v>
      </c>
      <c r="B26" s="180">
        <f>IF(ISERROR(-B25+Questions!$B$6),"45+",IF(-B25+Questions!$B$6&gt;0,-B25+Questions!$B$6,B25-Questions!$B$6))</f>
        <v>26</v>
      </c>
      <c r="C26" s="163" t="str">
        <f>IF(ISERROR(-B25+Questions!$B$6),"",IF((-B25+Questions!$B$6&lt;0),"More Years Past Age "&amp;TEXT(Questions!$B$6,"0"),"Less Years Than Age "&amp;TEXT(Questions!$B$6,"0")))</f>
        <v>More Years Past Age 65</v>
      </c>
    </row>
    <row r="27" spans="1:3" ht="12.75">
      <c r="A27" s="177" t="str">
        <f>"The minimum AAR you must have to reach Needed Plan Value by age "&amp;TEXT(Questions!$B$6,"0")&amp;":"</f>
        <v>The minimum AAR you must have to reach Needed Plan Value by age 65:</v>
      </c>
      <c r="B27" s="182">
        <f>IF(ISERROR('Ranges and Data'!$A$7),"",'Ranges and Data'!$A$7)</f>
        <v>0.12443225684321058</v>
      </c>
      <c r="C27" s="161"/>
    </row>
    <row r="28" spans="1:3" ht="14.25">
      <c r="A28" s="195" t="str">
        <f>"Results of using Horizon™ to increase your AAR to Horizon's expected AAR of "&amp;TEXT('Ranges and Data'!$A$1,"0.0%")&amp;"..."</f>
        <v>Results of using Horizon™ to increase your AAR to Horizon's expected AAR of 13.1%...</v>
      </c>
      <c r="B28" s="195"/>
      <c r="C28" s="161"/>
    </row>
    <row r="29" spans="1:3" ht="12.75">
      <c r="A29" s="177" t="s">
        <v>105</v>
      </c>
      <c r="B29" s="180">
        <f>IF(ISERROR('Ranges and Data'!$A$14),"",'Ranges and Data'!$A$14)</f>
        <v>65</v>
      </c>
      <c r="C29" s="161"/>
    </row>
    <row r="30" spans="1:3" ht="12.75">
      <c r="A30" s="181" t="str">
        <f>"Compared to your expected retirement age of "&amp;TEXT(Questions!$B$6,"0")&amp;", you will need to work:"</f>
        <v>Compared to your expected retirement age of 65, you will need to work:</v>
      </c>
      <c r="B30" s="180">
        <f>IF(ISERROR(-B29+Questions!$B$6),"",IF(-B29+Questions!$B$6&gt;0,-B29+Questions!$B$6,B29-Questions!$B$6))</f>
        <v>0</v>
      </c>
      <c r="C30" s="163" t="str">
        <f>IF(ISERROR(-B29+Questions!$B$6),"",IF(-B29+Questions!$B$6&gt;0,"Fewer Years","More Years"))</f>
        <v>More Years</v>
      </c>
    </row>
    <row r="31" spans="1:2" ht="15" hidden="1">
      <c r="A31" s="200" t="s">
        <v>90</v>
      </c>
      <c r="B31" s="200"/>
    </row>
    <row r="32" spans="1:2" ht="15.75" hidden="1">
      <c r="A32" s="155" t="s">
        <v>84</v>
      </c>
      <c r="B32" s="156">
        <f>ROUND(VLOOKUP('Ranges and Data'!A18,'Inflation Post Retirement'!$B$4:$D$40,2,FALSE),-3)</f>
        <v>58000</v>
      </c>
    </row>
    <row r="33" spans="1:2" ht="15.75" hidden="1">
      <c r="A33" s="157" t="s">
        <v>88</v>
      </c>
      <c r="B33" s="158">
        <f>VLOOKUP('Ranges and Data'!A18,'Inflation Post Retirement'!$B$4:$D$40,3,FALSE)</f>
        <v>0.5437943429267468</v>
      </c>
    </row>
    <row r="34" spans="1:3" s="2" customFormat="1" ht="12.75" customHeight="1" thickBot="1">
      <c r="A34" s="149"/>
      <c r="B34" s="150"/>
      <c r="C34" s="159"/>
    </row>
    <row r="35" spans="1:2" ht="51.75" customHeight="1" thickBot="1">
      <c r="A35" s="198" t="s">
        <v>111</v>
      </c>
      <c r="B35" s="199"/>
    </row>
    <row r="36" ht="12.75">
      <c r="A36" s="153" t="s">
        <v>104</v>
      </c>
    </row>
    <row r="37" spans="1:2" ht="15.75">
      <c r="A37" s="149"/>
      <c r="B37" s="150"/>
    </row>
  </sheetData>
  <sheetProtection/>
  <mergeCells count="7">
    <mergeCell ref="A1:B1"/>
    <mergeCell ref="A19:B19"/>
    <mergeCell ref="A17:B17"/>
    <mergeCell ref="A35:B35"/>
    <mergeCell ref="A31:B31"/>
    <mergeCell ref="A22:B22"/>
    <mergeCell ref="A28:B28"/>
  </mergeCells>
  <conditionalFormatting sqref="C30">
    <cfRule type="expression" priority="1" dxfId="11" stopIfTrue="1">
      <formula>FIND("Fewer",C30)</formula>
    </cfRule>
    <cfRule type="expression" priority="2" dxfId="10" stopIfTrue="1">
      <formula>FIND("More",C30)</formula>
    </cfRule>
  </conditionalFormatting>
  <conditionalFormatting sqref="C24">
    <cfRule type="expression" priority="3" dxfId="11" stopIfTrue="1">
      <formula>FIND("Excess",C24)</formula>
    </cfRule>
    <cfRule type="expression" priority="4" dxfId="10" stopIfTrue="1">
      <formula>FIND("Shortfall",C24)</formula>
    </cfRule>
  </conditionalFormatting>
  <hyperlinks>
    <hyperlink ref="A2" r:id="rId1" display="Questions? Problems? Click here."/>
    <hyperlink ref="A35:B35" r:id="rId2" display="* If you are not on the path to reaching the Retirement Goal click here to help decide which HORIZON plan will be right for you."/>
    <hyperlink ref="A3" r:id="rId3" display="Click to see which HORIZON™ plan is best for you and subscribe."/>
  </hyperlinks>
  <printOptions/>
  <pageMargins left="0.75" right="0.75" top="1" bottom="1" header="0.5" footer="0.5"/>
  <pageSetup horizontalDpi="525" verticalDpi="525" orientation="landscape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1" sqref="E11"/>
    </sheetView>
  </sheetViews>
  <sheetFormatPr defaultColWidth="9.140625" defaultRowHeight="12.75"/>
  <cols>
    <col min="1" max="1" width="28.421875" style="186" bestFit="1" customWidth="1"/>
    <col min="2" max="2" width="10.8515625" style="186" bestFit="1" customWidth="1"/>
    <col min="3" max="3" width="9.140625" style="186" customWidth="1"/>
    <col min="4" max="4" width="16.7109375" style="186" customWidth="1"/>
    <col min="5" max="5" width="13.8515625" style="186" customWidth="1"/>
    <col min="6" max="6" width="15.57421875" style="186" bestFit="1" customWidth="1"/>
    <col min="7" max="7" width="16.57421875" style="186" bestFit="1" customWidth="1"/>
    <col min="8" max="8" width="13.8515625" style="186" customWidth="1"/>
    <col min="9" max="9" width="15.57421875" style="186" customWidth="1"/>
    <col min="10" max="10" width="16.421875" style="186" customWidth="1"/>
    <col min="11" max="16384" width="9.140625" style="186" customWidth="1"/>
  </cols>
  <sheetData>
    <row r="1" spans="1:2" ht="15">
      <c r="A1" s="215" t="s">
        <v>132</v>
      </c>
      <c r="B1" s="215"/>
    </row>
    <row r="2" spans="1:2" ht="15">
      <c r="A2" s="193" t="s">
        <v>117</v>
      </c>
      <c r="B2" s="209">
        <f>Questions!$B$6</f>
        <v>65</v>
      </c>
    </row>
    <row r="3" spans="1:5" ht="15">
      <c r="A3" s="193" t="s">
        <v>119</v>
      </c>
      <c r="B3" s="210">
        <f>Questions!B9</f>
        <v>1</v>
      </c>
      <c r="D3" s="213" t="s">
        <v>128</v>
      </c>
      <c r="E3" s="213"/>
    </row>
    <row r="4" spans="1:4" ht="15">
      <c r="A4" s="193" t="s">
        <v>121</v>
      </c>
      <c r="B4" s="211">
        <f>Questions!$B$20*B3</f>
        <v>106000</v>
      </c>
      <c r="D4" s="212" t="s">
        <v>130</v>
      </c>
    </row>
    <row r="5" spans="1:2" ht="15">
      <c r="A5" s="193" t="s">
        <v>116</v>
      </c>
      <c r="B5" s="220">
        <f>Questions!B23</f>
        <v>620000</v>
      </c>
    </row>
    <row r="6" spans="1:5" ht="15">
      <c r="A6" s="215" t="s">
        <v>126</v>
      </c>
      <c r="B6" s="215"/>
      <c r="D6" s="214" t="s">
        <v>129</v>
      </c>
      <c r="E6" s="214"/>
    </row>
    <row r="7" spans="1:4" ht="15">
      <c r="A7" s="193" t="s">
        <v>120</v>
      </c>
      <c r="B7" s="191">
        <v>0.03</v>
      </c>
      <c r="D7" s="212" t="s">
        <v>131</v>
      </c>
    </row>
    <row r="8" spans="1:2" ht="15">
      <c r="A8" s="193" t="s">
        <v>127</v>
      </c>
      <c r="B8" s="191">
        <v>0.05</v>
      </c>
    </row>
    <row r="9" spans="1:2" ht="15">
      <c r="A9" s="193" t="s">
        <v>118</v>
      </c>
      <c r="B9" s="192">
        <v>0</v>
      </c>
    </row>
    <row r="10" ht="15">
      <c r="B10" s="189"/>
    </row>
    <row r="12" spans="2:10" ht="30">
      <c r="B12" s="128" t="s">
        <v>72</v>
      </c>
      <c r="C12" s="208" t="s">
        <v>2</v>
      </c>
      <c r="D12" s="216" t="s">
        <v>115</v>
      </c>
      <c r="E12" s="208" t="s">
        <v>122</v>
      </c>
      <c r="F12" s="208" t="s">
        <v>124</v>
      </c>
      <c r="G12" s="208" t="s">
        <v>125</v>
      </c>
      <c r="H12" s="208" t="s">
        <v>123</v>
      </c>
      <c r="I12" s="208" t="s">
        <v>124</v>
      </c>
      <c r="J12" s="218" t="s">
        <v>114</v>
      </c>
    </row>
    <row r="13" spans="2:10" ht="15">
      <c r="B13" s="124">
        <f>IF(J13&lt;0,"CIH Goal","")</f>
      </c>
      <c r="C13" s="188">
        <f>B2</f>
        <v>65</v>
      </c>
      <c r="D13" s="217">
        <f>B5</f>
        <v>620000</v>
      </c>
      <c r="E13" s="187">
        <f>-$B$4/2</f>
        <v>-53000</v>
      </c>
      <c r="F13" s="187">
        <f>(D13+E13)*$B$8</f>
        <v>28350</v>
      </c>
      <c r="G13" s="187">
        <f>D13+E13+F13</f>
        <v>595350</v>
      </c>
      <c r="H13" s="187">
        <f>-$B$4/2</f>
        <v>-53000</v>
      </c>
      <c r="I13" s="187">
        <f>(G13+H13)*$B$8</f>
        <v>27117.5</v>
      </c>
      <c r="J13" s="219">
        <f>G13+H13+I13</f>
        <v>569467.5</v>
      </c>
    </row>
    <row r="14" spans="2:10" ht="15">
      <c r="B14" s="124">
        <f aca="true" t="shared" si="0" ref="B14:B50">IF(J14&lt;0,"CIH Goal","")</f>
      </c>
      <c r="C14" s="188">
        <f aca="true" t="shared" si="1" ref="C14:C50">C13+1</f>
        <v>66</v>
      </c>
      <c r="D14" s="217">
        <f aca="true" t="shared" si="2" ref="D14:D50">J13</f>
        <v>569467.5</v>
      </c>
      <c r="E14" s="187">
        <f>E13*(1+$B$7)</f>
        <v>-54590</v>
      </c>
      <c r="F14" s="187">
        <f>(D14+E14)*$B$8</f>
        <v>25743.875</v>
      </c>
      <c r="G14" s="187">
        <f aca="true" t="shared" si="3" ref="G14:G77">D14+E14+F14</f>
        <v>540621.375</v>
      </c>
      <c r="H14" s="187">
        <f>H13*(1+$B$7)</f>
        <v>-54590</v>
      </c>
      <c r="I14" s="187">
        <f aca="true" t="shared" si="4" ref="I14:I77">(G14+H14)*$B$8</f>
        <v>24301.568750000002</v>
      </c>
      <c r="J14" s="219">
        <f aca="true" t="shared" si="5" ref="J14:J77">G14+H14+I14</f>
        <v>510332.94375</v>
      </c>
    </row>
    <row r="15" spans="2:10" ht="15">
      <c r="B15" s="124">
        <f t="shared" si="0"/>
      </c>
      <c r="C15" s="188">
        <f t="shared" si="1"/>
        <v>67</v>
      </c>
      <c r="D15" s="217">
        <f t="shared" si="2"/>
        <v>510332.94375</v>
      </c>
      <c r="E15" s="187">
        <f>E14*(1+$B$7)</f>
        <v>-56227.700000000004</v>
      </c>
      <c r="F15" s="187">
        <f aca="true" t="shared" si="6" ref="F15:F78">(D15+E15)*$B$8</f>
        <v>22705.2621875</v>
      </c>
      <c r="G15" s="187">
        <f t="shared" si="3"/>
        <v>476810.5059375</v>
      </c>
      <c r="H15" s="187">
        <f>H14*(1+$B$7)</f>
        <v>-56227.700000000004</v>
      </c>
      <c r="I15" s="187">
        <f t="shared" si="4"/>
        <v>21029.140296875</v>
      </c>
      <c r="J15" s="219">
        <f t="shared" si="5"/>
        <v>441611.94623437495</v>
      </c>
    </row>
    <row r="16" spans="2:10" ht="15">
      <c r="B16" s="124">
        <f t="shared" si="0"/>
      </c>
      <c r="C16" s="188">
        <f t="shared" si="1"/>
        <v>68</v>
      </c>
      <c r="D16" s="217">
        <f t="shared" si="2"/>
        <v>441611.94623437495</v>
      </c>
      <c r="E16" s="187">
        <f>E15*(1+$B$7)</f>
        <v>-57914.531</v>
      </c>
      <c r="F16" s="187">
        <f t="shared" si="6"/>
        <v>19184.870761718747</v>
      </c>
      <c r="G16" s="187">
        <f t="shared" si="3"/>
        <v>402882.28599609365</v>
      </c>
      <c r="H16" s="187">
        <f>H15*(1+$B$7)</f>
        <v>-57914.531</v>
      </c>
      <c r="I16" s="187">
        <f t="shared" si="4"/>
        <v>17248.387749804682</v>
      </c>
      <c r="J16" s="219">
        <f t="shared" si="5"/>
        <v>362216.14274589834</v>
      </c>
    </row>
    <row r="17" spans="2:10" ht="15">
      <c r="B17" s="124">
        <f t="shared" si="0"/>
      </c>
      <c r="C17" s="188">
        <f t="shared" si="1"/>
        <v>69</v>
      </c>
      <c r="D17" s="217">
        <f t="shared" si="2"/>
        <v>362216.14274589834</v>
      </c>
      <c r="E17" s="187">
        <f>E16*(1+$B$7)</f>
        <v>-59651.96693</v>
      </c>
      <c r="F17" s="187">
        <f t="shared" si="6"/>
        <v>15128.208790794917</v>
      </c>
      <c r="G17" s="187">
        <f t="shared" si="3"/>
        <v>317692.3846066933</v>
      </c>
      <c r="H17" s="187">
        <f>H16*(1+$B$7)</f>
        <v>-59651.96693</v>
      </c>
      <c r="I17" s="187">
        <f t="shared" si="4"/>
        <v>12902.020883834666</v>
      </c>
      <c r="J17" s="219">
        <f t="shared" si="5"/>
        <v>270942.438560528</v>
      </c>
    </row>
    <row r="18" spans="2:10" ht="15">
      <c r="B18" s="124">
        <f t="shared" si="0"/>
      </c>
      <c r="C18" s="188">
        <f t="shared" si="1"/>
        <v>70</v>
      </c>
      <c r="D18" s="217">
        <f t="shared" si="2"/>
        <v>270942.438560528</v>
      </c>
      <c r="E18" s="187">
        <f>E17*(1+$B$7)</f>
        <v>-61441.525937900005</v>
      </c>
      <c r="F18" s="187">
        <f t="shared" si="6"/>
        <v>10475.0456311314</v>
      </c>
      <c r="G18" s="187">
        <f t="shared" si="3"/>
        <v>219975.95825375937</v>
      </c>
      <c r="H18" s="187">
        <f>H17*(1+$B$7)</f>
        <v>-61441.525937900005</v>
      </c>
      <c r="I18" s="187">
        <f t="shared" si="4"/>
        <v>7926.721615792969</v>
      </c>
      <c r="J18" s="219">
        <f t="shared" si="5"/>
        <v>166461.15393165234</v>
      </c>
    </row>
    <row r="19" spans="2:10" ht="15">
      <c r="B19" s="124">
        <f t="shared" si="0"/>
      </c>
      <c r="C19" s="188">
        <f t="shared" si="1"/>
        <v>71</v>
      </c>
      <c r="D19" s="217">
        <f t="shared" si="2"/>
        <v>166461.15393165234</v>
      </c>
      <c r="E19" s="187">
        <f>E18*(1+$B$7)</f>
        <v>-63284.77171603701</v>
      </c>
      <c r="F19" s="187">
        <f t="shared" si="6"/>
        <v>5158.819110780767</v>
      </c>
      <c r="G19" s="187">
        <f t="shared" si="3"/>
        <v>108335.2013263961</v>
      </c>
      <c r="H19" s="187">
        <f>H18*(1+$B$7)</f>
        <v>-63284.77171603701</v>
      </c>
      <c r="I19" s="187">
        <f t="shared" si="4"/>
        <v>2252.5214805179544</v>
      </c>
      <c r="J19" s="219">
        <f t="shared" si="5"/>
        <v>47302.951090877046</v>
      </c>
    </row>
    <row r="20" spans="2:10" ht="15">
      <c r="B20" s="124" t="str">
        <f t="shared" si="0"/>
        <v>CIH Goal</v>
      </c>
      <c r="C20" s="188">
        <f t="shared" si="1"/>
        <v>72</v>
      </c>
      <c r="D20" s="217">
        <f t="shared" si="2"/>
        <v>47302.951090877046</v>
      </c>
      <c r="E20" s="187">
        <f>E19*(1+$B$7)</f>
        <v>-65183.31486751812</v>
      </c>
      <c r="F20" s="187">
        <f t="shared" si="6"/>
        <v>-894.0181888320539</v>
      </c>
      <c r="G20" s="187">
        <f t="shared" si="3"/>
        <v>-18774.38196547313</v>
      </c>
      <c r="H20" s="187">
        <f>H19*(1+$B$7)</f>
        <v>-65183.31486751812</v>
      </c>
      <c r="I20" s="187">
        <f t="shared" si="4"/>
        <v>-4197.884841649563</v>
      </c>
      <c r="J20" s="219">
        <f t="shared" si="5"/>
        <v>-88155.58167464081</v>
      </c>
    </row>
    <row r="21" spans="2:10" ht="15">
      <c r="B21" s="124" t="str">
        <f t="shared" si="0"/>
        <v>CIH Goal</v>
      </c>
      <c r="C21" s="188">
        <f t="shared" si="1"/>
        <v>73</v>
      </c>
      <c r="D21" s="217">
        <f t="shared" si="2"/>
        <v>-88155.58167464081</v>
      </c>
      <c r="E21" s="187">
        <f>E20*(1+$B$7)</f>
        <v>-67138.81431354367</v>
      </c>
      <c r="F21" s="187">
        <f t="shared" si="6"/>
        <v>-7764.719799409225</v>
      </c>
      <c r="G21" s="187">
        <f t="shared" si="3"/>
        <v>-163059.1157875937</v>
      </c>
      <c r="H21" s="187">
        <f>H20*(1+$B$7)</f>
        <v>-67138.81431354367</v>
      </c>
      <c r="I21" s="187">
        <f t="shared" si="4"/>
        <v>-11509.89650505687</v>
      </c>
      <c r="J21" s="219">
        <f t="shared" si="5"/>
        <v>-241707.82660619426</v>
      </c>
    </row>
    <row r="22" spans="2:10" ht="15">
      <c r="B22" s="124" t="str">
        <f t="shared" si="0"/>
        <v>CIH Goal</v>
      </c>
      <c r="C22" s="188">
        <f t="shared" si="1"/>
        <v>74</v>
      </c>
      <c r="D22" s="217">
        <f t="shared" si="2"/>
        <v>-241707.82660619426</v>
      </c>
      <c r="E22" s="187">
        <f>E21*(1+$B$7)</f>
        <v>-69152.97874294998</v>
      </c>
      <c r="F22" s="187">
        <f t="shared" si="6"/>
        <v>-15543.040267457214</v>
      </c>
      <c r="G22" s="187">
        <f t="shared" si="3"/>
        <v>-326403.84561660147</v>
      </c>
      <c r="H22" s="187">
        <f>H21*(1+$B$7)</f>
        <v>-69152.97874294998</v>
      </c>
      <c r="I22" s="187">
        <f t="shared" si="4"/>
        <v>-19777.841217977573</v>
      </c>
      <c r="J22" s="219">
        <f t="shared" si="5"/>
        <v>-415334.665577529</v>
      </c>
    </row>
    <row r="23" spans="2:10" ht="15">
      <c r="B23" s="124" t="str">
        <f t="shared" si="0"/>
        <v>CIH Goal</v>
      </c>
      <c r="C23" s="188">
        <f t="shared" si="1"/>
        <v>75</v>
      </c>
      <c r="D23" s="217">
        <f t="shared" si="2"/>
        <v>-415334.665577529</v>
      </c>
      <c r="E23" s="187">
        <f>E22*(1+$B$7)</f>
        <v>-71227.56810523849</v>
      </c>
      <c r="F23" s="187">
        <f t="shared" si="6"/>
        <v>-24328.111684138377</v>
      </c>
      <c r="G23" s="187">
        <f t="shared" si="3"/>
        <v>-510890.34536690585</v>
      </c>
      <c r="H23" s="187">
        <f>H22*(1+$B$7)</f>
        <v>-71227.56810523849</v>
      </c>
      <c r="I23" s="187">
        <f t="shared" si="4"/>
        <v>-29105.89567360722</v>
      </c>
      <c r="J23" s="219">
        <f t="shared" si="5"/>
        <v>-611223.8091457516</v>
      </c>
    </row>
    <row r="24" spans="2:10" ht="15">
      <c r="B24" s="124" t="str">
        <f t="shared" si="0"/>
        <v>CIH Goal</v>
      </c>
      <c r="C24" s="188">
        <f t="shared" si="1"/>
        <v>76</v>
      </c>
      <c r="D24" s="217">
        <f t="shared" si="2"/>
        <v>-611223.8091457516</v>
      </c>
      <c r="E24" s="187">
        <f>E23*(1+$B$7)</f>
        <v>-73364.39514839565</v>
      </c>
      <c r="F24" s="187">
        <f t="shared" si="6"/>
        <v>-34229.410214707365</v>
      </c>
      <c r="G24" s="187">
        <f t="shared" si="3"/>
        <v>-718817.6145088547</v>
      </c>
      <c r="H24" s="187">
        <f>H23*(1+$B$7)</f>
        <v>-73364.39514839565</v>
      </c>
      <c r="I24" s="187">
        <f t="shared" si="4"/>
        <v>-39609.10048286252</v>
      </c>
      <c r="J24" s="219">
        <f t="shared" si="5"/>
        <v>-831791.1101401129</v>
      </c>
    </row>
    <row r="25" spans="2:10" ht="15">
      <c r="B25" s="124" t="str">
        <f t="shared" si="0"/>
        <v>CIH Goal</v>
      </c>
      <c r="C25" s="188">
        <f t="shared" si="1"/>
        <v>77</v>
      </c>
      <c r="D25" s="217">
        <f t="shared" si="2"/>
        <v>-831791.1101401129</v>
      </c>
      <c r="E25" s="187">
        <f>E24*(1+$B$7)</f>
        <v>-75565.32700284752</v>
      </c>
      <c r="F25" s="187">
        <f t="shared" si="6"/>
        <v>-45367.821857148025</v>
      </c>
      <c r="G25" s="187">
        <f t="shared" si="3"/>
        <v>-952724.2590001086</v>
      </c>
      <c r="H25" s="187">
        <f>H24*(1+$B$7)</f>
        <v>-75565.32700284752</v>
      </c>
      <c r="I25" s="187">
        <f t="shared" si="4"/>
        <v>-51414.47930014781</v>
      </c>
      <c r="J25" s="219">
        <f t="shared" si="5"/>
        <v>-1079704.065303104</v>
      </c>
    </row>
    <row r="26" spans="2:10" ht="15">
      <c r="B26" s="124" t="str">
        <f t="shared" si="0"/>
        <v>CIH Goal</v>
      </c>
      <c r="C26" s="188">
        <f t="shared" si="1"/>
        <v>78</v>
      </c>
      <c r="D26" s="217">
        <f t="shared" si="2"/>
        <v>-1079704.065303104</v>
      </c>
      <c r="E26" s="187">
        <f>E25*(1+$B$7)</f>
        <v>-77832.28681293296</v>
      </c>
      <c r="F26" s="187">
        <f t="shared" si="6"/>
        <v>-57876.81760580185</v>
      </c>
      <c r="G26" s="187">
        <f t="shared" si="3"/>
        <v>-1215413.1697218388</v>
      </c>
      <c r="H26" s="187">
        <f>H25*(1+$B$7)</f>
        <v>-77832.28681293296</v>
      </c>
      <c r="I26" s="187">
        <f t="shared" si="4"/>
        <v>-64662.27282673859</v>
      </c>
      <c r="J26" s="219">
        <f t="shared" si="5"/>
        <v>-1357907.7293615104</v>
      </c>
    </row>
    <row r="27" spans="2:10" ht="15">
      <c r="B27" s="124" t="str">
        <f t="shared" si="0"/>
        <v>CIH Goal</v>
      </c>
      <c r="C27" s="188">
        <f t="shared" si="1"/>
        <v>79</v>
      </c>
      <c r="D27" s="217">
        <f t="shared" si="2"/>
        <v>-1357907.7293615104</v>
      </c>
      <c r="E27" s="187">
        <f>E26*(1+$B$7)</f>
        <v>-80167.25541732095</v>
      </c>
      <c r="F27" s="187">
        <f t="shared" si="6"/>
        <v>-71903.74923894157</v>
      </c>
      <c r="G27" s="187">
        <f t="shared" si="3"/>
        <v>-1509978.7340177728</v>
      </c>
      <c r="H27" s="187">
        <f>H26*(1+$B$7)</f>
        <v>-80167.25541732095</v>
      </c>
      <c r="I27" s="187">
        <f t="shared" si="4"/>
        <v>-79507.2994717547</v>
      </c>
      <c r="J27" s="219">
        <f t="shared" si="5"/>
        <v>-1669653.2889068485</v>
      </c>
    </row>
    <row r="28" spans="2:10" ht="15">
      <c r="B28" s="124" t="str">
        <f t="shared" si="0"/>
        <v>CIH Goal</v>
      </c>
      <c r="C28" s="188">
        <f t="shared" si="1"/>
        <v>80</v>
      </c>
      <c r="D28" s="217">
        <f t="shared" si="2"/>
        <v>-1669653.2889068485</v>
      </c>
      <c r="E28" s="187">
        <f>E27*(1+$B$7)</f>
        <v>-82572.27307984058</v>
      </c>
      <c r="F28" s="187">
        <f t="shared" si="6"/>
        <v>-87611.27809933445</v>
      </c>
      <c r="G28" s="187">
        <f t="shared" si="3"/>
        <v>-1839836.8400860233</v>
      </c>
      <c r="H28" s="187">
        <f>H27*(1+$B$7)</f>
        <v>-82572.27307984058</v>
      </c>
      <c r="I28" s="187">
        <f t="shared" si="4"/>
        <v>-96120.4556582932</v>
      </c>
      <c r="J28" s="219">
        <f t="shared" si="5"/>
        <v>-2018529.568824157</v>
      </c>
    </row>
    <row r="29" spans="2:10" ht="15">
      <c r="B29" s="124" t="str">
        <f t="shared" si="0"/>
        <v>CIH Goal</v>
      </c>
      <c r="C29" s="188">
        <f t="shared" si="1"/>
        <v>81</v>
      </c>
      <c r="D29" s="217">
        <f t="shared" si="2"/>
        <v>-2018529.568824157</v>
      </c>
      <c r="E29" s="187">
        <f>E28*(1+$B$7)</f>
        <v>-85049.4412722358</v>
      </c>
      <c r="F29" s="187">
        <f t="shared" si="6"/>
        <v>-105178.95050481963</v>
      </c>
      <c r="G29" s="187">
        <f t="shared" si="3"/>
        <v>-2208757.9606012125</v>
      </c>
      <c r="H29" s="187">
        <f>H28*(1+$B$7)</f>
        <v>-85049.4412722358</v>
      </c>
      <c r="I29" s="187">
        <f t="shared" si="4"/>
        <v>-114690.37009367242</v>
      </c>
      <c r="J29" s="219">
        <f t="shared" si="5"/>
        <v>-2408497.771967121</v>
      </c>
    </row>
    <row r="30" spans="2:10" ht="15">
      <c r="B30" s="124" t="str">
        <f t="shared" si="0"/>
        <v>CIH Goal</v>
      </c>
      <c r="C30" s="188">
        <f t="shared" si="1"/>
        <v>82</v>
      </c>
      <c r="D30" s="217">
        <f t="shared" si="2"/>
        <v>-2408497.771967121</v>
      </c>
      <c r="E30" s="187">
        <f>E29*(1+$B$7)</f>
        <v>-87600.92451040287</v>
      </c>
      <c r="F30" s="187">
        <f t="shared" si="6"/>
        <v>-124804.9348238762</v>
      </c>
      <c r="G30" s="187">
        <f t="shared" si="3"/>
        <v>-2620903.6313014003</v>
      </c>
      <c r="H30" s="187">
        <f>H29*(1+$B$7)</f>
        <v>-87600.92451040287</v>
      </c>
      <c r="I30" s="187">
        <f t="shared" si="4"/>
        <v>-135425.22779059017</v>
      </c>
      <c r="J30" s="219">
        <f t="shared" si="5"/>
        <v>-2843929.7836023937</v>
      </c>
    </row>
    <row r="31" spans="2:10" ht="15">
      <c r="B31" s="124" t="str">
        <f t="shared" si="0"/>
        <v>CIH Goal</v>
      </c>
      <c r="C31" s="188">
        <f t="shared" si="1"/>
        <v>83</v>
      </c>
      <c r="D31" s="217">
        <f t="shared" si="2"/>
        <v>-2843929.7836023937</v>
      </c>
      <c r="E31" s="187">
        <f>E30*(1+$B$7)</f>
        <v>-90228.95224571496</v>
      </c>
      <c r="F31" s="187">
        <f t="shared" si="6"/>
        <v>-146707.93679240544</v>
      </c>
      <c r="G31" s="187">
        <f t="shared" si="3"/>
        <v>-3080866.672640514</v>
      </c>
      <c r="H31" s="187">
        <f>H30*(1+$B$7)</f>
        <v>-90228.95224571496</v>
      </c>
      <c r="I31" s="187">
        <f t="shared" si="4"/>
        <v>-158554.78124431148</v>
      </c>
      <c r="J31" s="219">
        <f t="shared" si="5"/>
        <v>-3329650.4061305407</v>
      </c>
    </row>
    <row r="32" spans="2:10" ht="15">
      <c r="B32" s="124" t="str">
        <f t="shared" si="0"/>
        <v>CIH Goal</v>
      </c>
      <c r="C32" s="188">
        <f t="shared" si="1"/>
        <v>84</v>
      </c>
      <c r="D32" s="217">
        <f t="shared" si="2"/>
        <v>-3329650.4061305407</v>
      </c>
      <c r="E32" s="187">
        <f>E31*(1+$B$7)</f>
        <v>-92935.82081308641</v>
      </c>
      <c r="F32" s="187">
        <f t="shared" si="6"/>
        <v>-171129.31134718136</v>
      </c>
      <c r="G32" s="187">
        <f t="shared" si="3"/>
        <v>-3593715.5382908084</v>
      </c>
      <c r="H32" s="187">
        <f>H31*(1+$B$7)</f>
        <v>-92935.82081308641</v>
      </c>
      <c r="I32" s="187">
        <f t="shared" si="4"/>
        <v>-184332.56795519474</v>
      </c>
      <c r="J32" s="219">
        <f t="shared" si="5"/>
        <v>-3870983.9270590898</v>
      </c>
    </row>
    <row r="33" spans="2:10" ht="15">
      <c r="B33" s="124" t="str">
        <f t="shared" si="0"/>
        <v>CIH Goal</v>
      </c>
      <c r="C33" s="188">
        <f t="shared" si="1"/>
        <v>85</v>
      </c>
      <c r="D33" s="217">
        <f t="shared" si="2"/>
        <v>-3870983.9270590898</v>
      </c>
      <c r="E33" s="187">
        <f>E32*(1+$B$7)</f>
        <v>-95723.895437479</v>
      </c>
      <c r="F33" s="187">
        <f t="shared" si="6"/>
        <v>-198335.39112482846</v>
      </c>
      <c r="G33" s="187">
        <f t="shared" si="3"/>
        <v>-4165043.213621397</v>
      </c>
      <c r="H33" s="187">
        <f>H32*(1+$B$7)</f>
        <v>-95723.895437479</v>
      </c>
      <c r="I33" s="187">
        <f t="shared" si="4"/>
        <v>-213038.3554529438</v>
      </c>
      <c r="J33" s="219">
        <f t="shared" si="5"/>
        <v>-4473805.464511819</v>
      </c>
    </row>
    <row r="34" spans="2:10" ht="15">
      <c r="B34" s="124" t="str">
        <f t="shared" si="0"/>
        <v>CIH Goal</v>
      </c>
      <c r="C34" s="188">
        <f t="shared" si="1"/>
        <v>86</v>
      </c>
      <c r="D34" s="217">
        <f t="shared" si="2"/>
        <v>-4473805.464511819</v>
      </c>
      <c r="E34" s="187">
        <f>E33*(1+$B$7)</f>
        <v>-98595.61230060337</v>
      </c>
      <c r="F34" s="187">
        <f t="shared" si="6"/>
        <v>-228620.05384062114</v>
      </c>
      <c r="G34" s="187">
        <f t="shared" si="3"/>
        <v>-4801021.130653044</v>
      </c>
      <c r="H34" s="187">
        <f>H33*(1+$B$7)</f>
        <v>-98595.61230060337</v>
      </c>
      <c r="I34" s="187">
        <f t="shared" si="4"/>
        <v>-244980.8371476824</v>
      </c>
      <c r="J34" s="219">
        <f t="shared" si="5"/>
        <v>-5144597.58010133</v>
      </c>
    </row>
    <row r="35" spans="2:10" ht="15">
      <c r="B35" s="124" t="str">
        <f t="shared" si="0"/>
        <v>CIH Goal</v>
      </c>
      <c r="C35" s="188">
        <f t="shared" si="1"/>
        <v>87</v>
      </c>
      <c r="D35" s="217">
        <f t="shared" si="2"/>
        <v>-5144597.58010133</v>
      </c>
      <c r="E35" s="187">
        <f>E34*(1+$B$7)</f>
        <v>-101553.48066962148</v>
      </c>
      <c r="F35" s="187">
        <f t="shared" si="6"/>
        <v>-262307.5530385476</v>
      </c>
      <c r="G35" s="187">
        <f t="shared" si="3"/>
        <v>-5508458.613809499</v>
      </c>
      <c r="H35" s="187">
        <f>H34*(1+$B$7)</f>
        <v>-101553.48066962148</v>
      </c>
      <c r="I35" s="187">
        <f t="shared" si="4"/>
        <v>-280500.604723956</v>
      </c>
      <c r="J35" s="219">
        <f t="shared" si="5"/>
        <v>-5890512.699203077</v>
      </c>
    </row>
    <row r="36" spans="2:10" ht="15">
      <c r="B36" s="124" t="str">
        <f t="shared" si="0"/>
        <v>CIH Goal</v>
      </c>
      <c r="C36" s="188">
        <f t="shared" si="1"/>
        <v>88</v>
      </c>
      <c r="D36" s="217">
        <f t="shared" si="2"/>
        <v>-5890512.699203077</v>
      </c>
      <c r="E36" s="187">
        <f>E35*(1+$B$7)</f>
        <v>-104600.08508971013</v>
      </c>
      <c r="F36" s="187">
        <f t="shared" si="6"/>
        <v>-299755.6392146394</v>
      </c>
      <c r="G36" s="187">
        <f t="shared" si="3"/>
        <v>-6294868.423507427</v>
      </c>
      <c r="H36" s="187">
        <f>H35*(1+$B$7)</f>
        <v>-104600.08508971013</v>
      </c>
      <c r="I36" s="187">
        <f t="shared" si="4"/>
        <v>-319973.42542985687</v>
      </c>
      <c r="J36" s="219">
        <f t="shared" si="5"/>
        <v>-6719441.934026994</v>
      </c>
    </row>
    <row r="37" spans="2:10" ht="15">
      <c r="B37" s="124" t="str">
        <f t="shared" si="0"/>
        <v>CIH Goal</v>
      </c>
      <c r="C37" s="188">
        <f t="shared" si="1"/>
        <v>89</v>
      </c>
      <c r="D37" s="217">
        <f t="shared" si="2"/>
        <v>-6719441.934026994</v>
      </c>
      <c r="E37" s="187">
        <f>E36*(1+$B$7)</f>
        <v>-107738.08764240144</v>
      </c>
      <c r="F37" s="187">
        <f t="shared" si="6"/>
        <v>-341359.0010834698</v>
      </c>
      <c r="G37" s="187">
        <f t="shared" si="3"/>
        <v>-7168539.022752865</v>
      </c>
      <c r="H37" s="187">
        <f>H36*(1+$B$7)</f>
        <v>-107738.08764240144</v>
      </c>
      <c r="I37" s="187">
        <f t="shared" si="4"/>
        <v>-363813.85551976337</v>
      </c>
      <c r="J37" s="219">
        <f t="shared" si="5"/>
        <v>-7640090.96591503</v>
      </c>
    </row>
    <row r="38" spans="2:10" ht="15">
      <c r="B38" s="124" t="str">
        <f t="shared" si="0"/>
        <v>CIH Goal</v>
      </c>
      <c r="C38" s="188">
        <f t="shared" si="1"/>
        <v>90</v>
      </c>
      <c r="D38" s="217">
        <f t="shared" si="2"/>
        <v>-7640090.96591503</v>
      </c>
      <c r="E38" s="187">
        <f>E37*(1+$B$7)</f>
        <v>-110970.23027167348</v>
      </c>
      <c r="F38" s="187">
        <f t="shared" si="6"/>
        <v>-387553.0598093352</v>
      </c>
      <c r="G38" s="187">
        <f t="shared" si="3"/>
        <v>-8138614.255996039</v>
      </c>
      <c r="H38" s="187">
        <f>H37*(1+$B$7)</f>
        <v>-110970.23027167348</v>
      </c>
      <c r="I38" s="187">
        <f t="shared" si="4"/>
        <v>-412479.22431338567</v>
      </c>
      <c r="J38" s="219">
        <f t="shared" si="5"/>
        <v>-8662063.710581098</v>
      </c>
    </row>
    <row r="39" spans="2:10" ht="15">
      <c r="B39" s="124" t="str">
        <f t="shared" si="0"/>
        <v>CIH Goal</v>
      </c>
      <c r="C39" s="188">
        <f t="shared" si="1"/>
        <v>91</v>
      </c>
      <c r="D39" s="217">
        <f t="shared" si="2"/>
        <v>-8662063.710581098</v>
      </c>
      <c r="E39" s="187">
        <f>E38*(1+$B$7)</f>
        <v>-114299.33717982369</v>
      </c>
      <c r="F39" s="187">
        <f t="shared" si="6"/>
        <v>-438818.15238804603</v>
      </c>
      <c r="G39" s="187">
        <f t="shared" si="3"/>
        <v>-9215181.200148966</v>
      </c>
      <c r="H39" s="187">
        <f>H38*(1+$B$7)</f>
        <v>-114299.33717982369</v>
      </c>
      <c r="I39" s="187">
        <f t="shared" si="4"/>
        <v>-466474.0268664395</v>
      </c>
      <c r="J39" s="219">
        <f t="shared" si="5"/>
        <v>-9795954.564195229</v>
      </c>
    </row>
    <row r="40" spans="2:10" ht="15">
      <c r="B40" s="124" t="str">
        <f t="shared" si="0"/>
        <v>CIH Goal</v>
      </c>
      <c r="C40" s="188">
        <f t="shared" si="1"/>
        <v>92</v>
      </c>
      <c r="D40" s="217">
        <f t="shared" si="2"/>
        <v>-9795954.564195229</v>
      </c>
      <c r="E40" s="187">
        <f>E39*(1+$B$7)</f>
        <v>-117728.31729521841</v>
      </c>
      <c r="F40" s="187">
        <f t="shared" si="6"/>
        <v>-495684.14407452237</v>
      </c>
      <c r="G40" s="187">
        <f t="shared" si="3"/>
        <v>-10409367.025564969</v>
      </c>
      <c r="H40" s="187">
        <f>H39*(1+$B$7)</f>
        <v>-117728.31729521841</v>
      </c>
      <c r="I40" s="187">
        <f t="shared" si="4"/>
        <v>-526354.7671430093</v>
      </c>
      <c r="J40" s="219">
        <f t="shared" si="5"/>
        <v>-11053450.110003196</v>
      </c>
    </row>
    <row r="41" spans="2:10" ht="15">
      <c r="B41" s="124" t="str">
        <f t="shared" si="0"/>
        <v>CIH Goal</v>
      </c>
      <c r="C41" s="188">
        <f t="shared" si="1"/>
        <v>93</v>
      </c>
      <c r="D41" s="217">
        <f t="shared" si="2"/>
        <v>-11053450.110003196</v>
      </c>
      <c r="E41" s="187">
        <f>E40*(1+$B$7)</f>
        <v>-121260.16681407497</v>
      </c>
      <c r="F41" s="187">
        <f t="shared" si="6"/>
        <v>-558735.5138408636</v>
      </c>
      <c r="G41" s="187">
        <f t="shared" si="3"/>
        <v>-11733445.790658135</v>
      </c>
      <c r="H41" s="187">
        <f>H40*(1+$B$7)</f>
        <v>-121260.16681407497</v>
      </c>
      <c r="I41" s="187">
        <f t="shared" si="4"/>
        <v>-592735.2978736105</v>
      </c>
      <c r="J41" s="219">
        <f t="shared" si="5"/>
        <v>-12447441.255345821</v>
      </c>
    </row>
    <row r="42" spans="2:10" ht="15">
      <c r="B42" s="124" t="str">
        <f t="shared" si="0"/>
        <v>CIH Goal</v>
      </c>
      <c r="C42" s="188">
        <f t="shared" si="1"/>
        <v>94</v>
      </c>
      <c r="D42" s="217">
        <f t="shared" si="2"/>
        <v>-12447441.255345821</v>
      </c>
      <c r="E42" s="187">
        <f>E41*(1+$B$7)</f>
        <v>-124897.97181849722</v>
      </c>
      <c r="F42" s="187">
        <f t="shared" si="6"/>
        <v>-628616.961358216</v>
      </c>
      <c r="G42" s="187">
        <f t="shared" si="3"/>
        <v>-13200956.188522534</v>
      </c>
      <c r="H42" s="187">
        <f>H41*(1+$B$7)</f>
        <v>-124897.97181849722</v>
      </c>
      <c r="I42" s="187">
        <f t="shared" si="4"/>
        <v>-666292.7080170517</v>
      </c>
      <c r="J42" s="219">
        <f t="shared" si="5"/>
        <v>-13992146.868358083</v>
      </c>
    </row>
    <row r="43" spans="2:10" ht="15">
      <c r="B43" s="124" t="str">
        <f t="shared" si="0"/>
        <v>CIH Goal</v>
      </c>
      <c r="C43" s="188">
        <f t="shared" si="1"/>
        <v>95</v>
      </c>
      <c r="D43" s="217">
        <f t="shared" si="2"/>
        <v>-13992146.868358083</v>
      </c>
      <c r="E43" s="187">
        <f>E42*(1+$B$7)</f>
        <v>-128644.91097305213</v>
      </c>
      <c r="F43" s="187">
        <f t="shared" si="6"/>
        <v>-706039.5889665568</v>
      </c>
      <c r="G43" s="187">
        <f t="shared" si="3"/>
        <v>-14826831.368297692</v>
      </c>
      <c r="H43" s="187">
        <f>H42*(1+$B$7)</f>
        <v>-128644.91097305213</v>
      </c>
      <c r="I43" s="187">
        <f t="shared" si="4"/>
        <v>-747773.8139635372</v>
      </c>
      <c r="J43" s="219">
        <f t="shared" si="5"/>
        <v>-15703250.093234282</v>
      </c>
    </row>
    <row r="44" spans="2:10" ht="15">
      <c r="B44" s="124" t="str">
        <f t="shared" si="0"/>
        <v>CIH Goal</v>
      </c>
      <c r="C44" s="188">
        <f t="shared" si="1"/>
        <v>96</v>
      </c>
      <c r="D44" s="217">
        <f t="shared" si="2"/>
        <v>-15703250.093234282</v>
      </c>
      <c r="E44" s="187">
        <f>E43*(1+$B$7)</f>
        <v>-132504.2583022437</v>
      </c>
      <c r="F44" s="187">
        <f t="shared" si="6"/>
        <v>-791787.7175768263</v>
      </c>
      <c r="G44" s="187">
        <f t="shared" si="3"/>
        <v>-16627542.069113351</v>
      </c>
      <c r="H44" s="187">
        <f>H43*(1+$B$7)</f>
        <v>-132504.2583022437</v>
      </c>
      <c r="I44" s="187">
        <f t="shared" si="4"/>
        <v>-838002.3163707798</v>
      </c>
      <c r="J44" s="219">
        <f t="shared" si="5"/>
        <v>-17598048.643786374</v>
      </c>
    </row>
    <row r="45" spans="2:10" ht="15">
      <c r="B45" s="124" t="str">
        <f t="shared" si="0"/>
        <v>CIH Goal</v>
      </c>
      <c r="C45" s="188">
        <f t="shared" si="1"/>
        <v>97</v>
      </c>
      <c r="D45" s="217">
        <f t="shared" si="2"/>
        <v>-17598048.643786374</v>
      </c>
      <c r="E45" s="187">
        <f>E44*(1+$B$7)</f>
        <v>-136479.386051311</v>
      </c>
      <c r="F45" s="187">
        <f t="shared" si="6"/>
        <v>-886726.4014918844</v>
      </c>
      <c r="G45" s="187">
        <f t="shared" si="3"/>
        <v>-18621254.43132957</v>
      </c>
      <c r="H45" s="187">
        <f>H44*(1+$B$7)</f>
        <v>-136479.386051311</v>
      </c>
      <c r="I45" s="187">
        <f t="shared" si="4"/>
        <v>-937886.6908690442</v>
      </c>
      <c r="J45" s="219">
        <f t="shared" si="5"/>
        <v>-19695620.508249927</v>
      </c>
    </row>
    <row r="46" spans="2:10" ht="15">
      <c r="B46" s="124" t="str">
        <f t="shared" si="0"/>
        <v>CIH Goal</v>
      </c>
      <c r="C46" s="188">
        <f t="shared" si="1"/>
        <v>98</v>
      </c>
      <c r="D46" s="217">
        <f t="shared" si="2"/>
        <v>-19695620.508249927</v>
      </c>
      <c r="E46" s="187">
        <f>E45*(1+$B$7)</f>
        <v>-140573.76763285036</v>
      </c>
      <c r="F46" s="187">
        <f t="shared" si="6"/>
        <v>-991809.7137941389</v>
      </c>
      <c r="G46" s="187">
        <f t="shared" si="3"/>
        <v>-20828003.989676915</v>
      </c>
      <c r="H46" s="187">
        <f>H45*(1+$B$7)</f>
        <v>-140573.76763285036</v>
      </c>
      <c r="I46" s="187">
        <f t="shared" si="4"/>
        <v>-1048428.8878654883</v>
      </c>
      <c r="J46" s="219">
        <f t="shared" si="5"/>
        <v>-22017006.645175252</v>
      </c>
    </row>
    <row r="47" spans="2:10" ht="15">
      <c r="B47" s="124" t="str">
        <f t="shared" si="0"/>
        <v>CIH Goal</v>
      </c>
      <c r="C47" s="188">
        <f t="shared" si="1"/>
        <v>99</v>
      </c>
      <c r="D47" s="217">
        <f t="shared" si="2"/>
        <v>-22017006.645175252</v>
      </c>
      <c r="E47" s="187">
        <f>E46*(1+$B$7)</f>
        <v>-144790.98066183587</v>
      </c>
      <c r="F47" s="187">
        <f t="shared" si="6"/>
        <v>-1108089.8812918544</v>
      </c>
      <c r="G47" s="187">
        <f t="shared" si="3"/>
        <v>-23269887.507128943</v>
      </c>
      <c r="H47" s="187">
        <f>H46*(1+$B$7)</f>
        <v>-144790.98066183587</v>
      </c>
      <c r="I47" s="187">
        <f t="shared" si="4"/>
        <v>-1170733.924389539</v>
      </c>
      <c r="J47" s="219">
        <f t="shared" si="5"/>
        <v>-24585412.412180316</v>
      </c>
    </row>
    <row r="48" spans="2:10" ht="15">
      <c r="B48" s="124" t="str">
        <f t="shared" si="0"/>
        <v>CIH Goal</v>
      </c>
      <c r="C48" s="188">
        <f t="shared" si="1"/>
        <v>100</v>
      </c>
      <c r="D48" s="217">
        <f t="shared" si="2"/>
        <v>-24585412.412180316</v>
      </c>
      <c r="E48" s="187">
        <f>E47*(1+$B$7)</f>
        <v>-149134.71008169095</v>
      </c>
      <c r="F48" s="187">
        <f t="shared" si="6"/>
        <v>-1236727.3561131004</v>
      </c>
      <c r="G48" s="187">
        <f t="shared" si="3"/>
        <v>-25971274.478375107</v>
      </c>
      <c r="H48" s="187">
        <f>H47*(1+$B$7)</f>
        <v>-149134.71008169095</v>
      </c>
      <c r="I48" s="187">
        <f t="shared" si="4"/>
        <v>-1306020.45942284</v>
      </c>
      <c r="J48" s="219">
        <f t="shared" si="5"/>
        <v>-27426429.64787964</v>
      </c>
    </row>
    <row r="49" spans="2:10" ht="15">
      <c r="B49" s="124" t="str">
        <f t="shared" si="0"/>
        <v>CIH Goal</v>
      </c>
      <c r="C49" s="188">
        <f t="shared" si="1"/>
        <v>101</v>
      </c>
      <c r="D49" s="217">
        <f t="shared" si="2"/>
        <v>-27426429.64787964</v>
      </c>
      <c r="E49" s="187">
        <f>E48*(1+$B$7)</f>
        <v>-153608.75138414168</v>
      </c>
      <c r="F49" s="187">
        <f t="shared" si="6"/>
        <v>-1379001.9199631894</v>
      </c>
      <c r="G49" s="187">
        <f t="shared" si="3"/>
        <v>-28959040.319226973</v>
      </c>
      <c r="H49" s="187">
        <f>H48*(1+$B$7)</f>
        <v>-153608.75138414168</v>
      </c>
      <c r="I49" s="187">
        <f t="shared" si="4"/>
        <v>-1455632.4535305558</v>
      </c>
      <c r="J49" s="219">
        <f t="shared" si="5"/>
        <v>-30568281.524141673</v>
      </c>
    </row>
    <row r="50" spans="2:10" ht="15">
      <c r="B50" s="124" t="str">
        <f t="shared" si="0"/>
        <v>CIH Goal</v>
      </c>
      <c r="C50" s="188">
        <f t="shared" si="1"/>
        <v>102</v>
      </c>
      <c r="D50" s="217">
        <f t="shared" si="2"/>
        <v>-30568281.524141673</v>
      </c>
      <c r="E50" s="187">
        <f>E49*(1+$B$7)</f>
        <v>-158217.01392566593</v>
      </c>
      <c r="F50" s="187">
        <f t="shared" si="6"/>
        <v>-1536324.926903367</v>
      </c>
      <c r="G50" s="187">
        <f t="shared" si="3"/>
        <v>-32262823.464970704</v>
      </c>
      <c r="H50" s="187">
        <f>H49*(1+$B$7)</f>
        <v>-158217.01392566593</v>
      </c>
      <c r="I50" s="187">
        <f t="shared" si="4"/>
        <v>-1621052.0239448184</v>
      </c>
      <c r="J50" s="219">
        <f t="shared" si="5"/>
        <v>-34042092.50284119</v>
      </c>
    </row>
    <row r="51" spans="2:10" ht="15">
      <c r="B51" s="124" t="str">
        <f aca="true" t="shared" si="7" ref="B51:B62">IF(J51&lt;0,"CIH Goal","")</f>
        <v>CIH Goal</v>
      </c>
      <c r="C51" s="188">
        <f aca="true" t="shared" si="8" ref="C51:C61">C50+1</f>
        <v>103</v>
      </c>
      <c r="D51" s="217">
        <f aca="true" t="shared" si="9" ref="D51:D61">J50</f>
        <v>-34042092.50284119</v>
      </c>
      <c r="E51" s="187">
        <f>E50*(1+$B$7)</f>
        <v>-162963.5243434359</v>
      </c>
      <c r="F51" s="187">
        <f t="shared" si="6"/>
        <v>-1710252.8013592316</v>
      </c>
      <c r="G51" s="187">
        <f t="shared" si="3"/>
        <v>-35915308.82854386</v>
      </c>
      <c r="H51" s="187">
        <f>H50*(1+$B$7)</f>
        <v>-162963.5243434359</v>
      </c>
      <c r="I51" s="187">
        <f t="shared" si="4"/>
        <v>-1803913.617644365</v>
      </c>
      <c r="J51" s="219">
        <f t="shared" si="5"/>
        <v>-37882185.97053166</v>
      </c>
    </row>
    <row r="52" spans="2:10" ht="15">
      <c r="B52" s="124" t="str">
        <f t="shared" si="7"/>
        <v>CIH Goal</v>
      </c>
      <c r="C52" s="188">
        <f t="shared" si="8"/>
        <v>104</v>
      </c>
      <c r="D52" s="217">
        <f t="shared" si="9"/>
        <v>-37882185.97053166</v>
      </c>
      <c r="E52" s="187">
        <f>E51*(1+$B$7)</f>
        <v>-167852.430073739</v>
      </c>
      <c r="F52" s="187">
        <f t="shared" si="6"/>
        <v>-1902501.9200302698</v>
      </c>
      <c r="G52" s="187">
        <f t="shared" si="3"/>
        <v>-39952540.32063566</v>
      </c>
      <c r="H52" s="187">
        <f>H51*(1+$B$7)</f>
        <v>-167852.430073739</v>
      </c>
      <c r="I52" s="187">
        <f t="shared" si="4"/>
        <v>-2006019.63753547</v>
      </c>
      <c r="J52" s="219">
        <f t="shared" si="5"/>
        <v>-42126412.38824487</v>
      </c>
    </row>
    <row r="53" spans="2:10" ht="15">
      <c r="B53" s="124" t="str">
        <f t="shared" si="7"/>
        <v>CIH Goal</v>
      </c>
      <c r="C53" s="188">
        <f t="shared" si="8"/>
        <v>105</v>
      </c>
      <c r="D53" s="217">
        <f t="shared" si="9"/>
        <v>-42126412.38824487</v>
      </c>
      <c r="E53" s="187">
        <f>E52*(1+$B$7)</f>
        <v>-172888.00297595118</v>
      </c>
      <c r="F53" s="187">
        <f t="shared" si="6"/>
        <v>-2114965.0195610407</v>
      </c>
      <c r="G53" s="187">
        <f t="shared" si="3"/>
        <v>-44414265.41078185</v>
      </c>
      <c r="H53" s="187">
        <f>H52*(1+$B$7)</f>
        <v>-172888.00297595118</v>
      </c>
      <c r="I53" s="187">
        <f t="shared" si="4"/>
        <v>-2229357.67068789</v>
      </c>
      <c r="J53" s="219">
        <f t="shared" si="5"/>
        <v>-46816511.08444569</v>
      </c>
    </row>
    <row r="54" spans="2:10" ht="15">
      <c r="B54" s="124" t="str">
        <f t="shared" si="7"/>
        <v>CIH Goal</v>
      </c>
      <c r="C54" s="188">
        <f t="shared" si="8"/>
        <v>106</v>
      </c>
      <c r="D54" s="217">
        <f t="shared" si="9"/>
        <v>-46816511.08444569</v>
      </c>
      <c r="E54" s="187">
        <f>E53*(1+$B$7)</f>
        <v>-178074.64306522973</v>
      </c>
      <c r="F54" s="187">
        <f t="shared" si="6"/>
        <v>-2349729.2863755464</v>
      </c>
      <c r="G54" s="187">
        <f t="shared" si="3"/>
        <v>-49344315.01388647</v>
      </c>
      <c r="H54" s="187">
        <f>H53*(1+$B$7)</f>
        <v>-178074.64306522973</v>
      </c>
      <c r="I54" s="187">
        <f t="shared" si="4"/>
        <v>-2476119.482847585</v>
      </c>
      <c r="J54" s="219">
        <f t="shared" si="5"/>
        <v>-51998509.13979928</v>
      </c>
    </row>
    <row r="55" spans="2:10" ht="15">
      <c r="B55" s="124" t="str">
        <f t="shared" si="7"/>
        <v>CIH Goal</v>
      </c>
      <c r="C55" s="188">
        <f t="shared" si="8"/>
        <v>107</v>
      </c>
      <c r="D55" s="217">
        <f t="shared" si="9"/>
        <v>-51998509.13979928</v>
      </c>
      <c r="E55" s="187">
        <f>E54*(1+$B$7)</f>
        <v>-183416.88235718664</v>
      </c>
      <c r="F55" s="187">
        <f t="shared" si="6"/>
        <v>-2609096.301107824</v>
      </c>
      <c r="G55" s="187">
        <f t="shared" si="3"/>
        <v>-54791022.32326429</v>
      </c>
      <c r="H55" s="187">
        <f>H54*(1+$B$7)</f>
        <v>-183416.88235718664</v>
      </c>
      <c r="I55" s="187">
        <f t="shared" si="4"/>
        <v>-2748721.960281074</v>
      </c>
      <c r="J55" s="219">
        <f t="shared" si="5"/>
        <v>-57723161.165902555</v>
      </c>
    </row>
    <row r="56" spans="2:10" ht="15">
      <c r="B56" s="124" t="str">
        <f t="shared" si="7"/>
        <v>CIH Goal</v>
      </c>
      <c r="C56" s="188">
        <f t="shared" si="8"/>
        <v>108</v>
      </c>
      <c r="D56" s="217">
        <f t="shared" si="9"/>
        <v>-57723161.165902555</v>
      </c>
      <c r="E56" s="187">
        <f>E55*(1+$B$7)</f>
        <v>-188919.38882790224</v>
      </c>
      <c r="F56" s="187">
        <f t="shared" si="6"/>
        <v>-2895604.027736523</v>
      </c>
      <c r="G56" s="187">
        <f t="shared" si="3"/>
        <v>-60807684.58246698</v>
      </c>
      <c r="H56" s="187">
        <f>H55*(1+$B$7)</f>
        <v>-188919.38882790224</v>
      </c>
      <c r="I56" s="187">
        <f t="shared" si="4"/>
        <v>-3049830.1985647446</v>
      </c>
      <c r="J56" s="219">
        <f t="shared" si="5"/>
        <v>-64046434.16985963</v>
      </c>
    </row>
    <row r="57" spans="2:10" ht="15">
      <c r="B57" s="124" t="str">
        <f t="shared" si="7"/>
        <v>CIH Goal</v>
      </c>
      <c r="C57" s="188">
        <f t="shared" si="8"/>
        <v>109</v>
      </c>
      <c r="D57" s="217">
        <f t="shared" si="9"/>
        <v>-64046434.16985963</v>
      </c>
      <c r="E57" s="187">
        <f>E56*(1+$B$7)</f>
        <v>-194586.97049273932</v>
      </c>
      <c r="F57" s="187">
        <f t="shared" si="6"/>
        <v>-3212051.057017619</v>
      </c>
      <c r="G57" s="187">
        <f t="shared" si="3"/>
        <v>-67453072.19737</v>
      </c>
      <c r="H57" s="187">
        <f>H56*(1+$B$7)</f>
        <v>-194586.97049273932</v>
      </c>
      <c r="I57" s="187">
        <f t="shared" si="4"/>
        <v>-3382382.9583931365</v>
      </c>
      <c r="J57" s="219">
        <f t="shared" si="5"/>
        <v>-71030042.12625587</v>
      </c>
    </row>
    <row r="58" spans="2:10" ht="15">
      <c r="B58" s="124" t="str">
        <f t="shared" si="7"/>
        <v>CIH Goal</v>
      </c>
      <c r="C58" s="188">
        <f t="shared" si="8"/>
        <v>110</v>
      </c>
      <c r="D58" s="217">
        <f t="shared" si="9"/>
        <v>-71030042.12625587</v>
      </c>
      <c r="E58" s="187">
        <f>E57*(1+$B$7)</f>
        <v>-200424.5796075215</v>
      </c>
      <c r="F58" s="187">
        <f t="shared" si="6"/>
        <v>-3561523.3352931696</v>
      </c>
      <c r="G58" s="187">
        <f t="shared" si="3"/>
        <v>-74791990.04115656</v>
      </c>
      <c r="H58" s="187">
        <f>H57*(1+$B$7)</f>
        <v>-200424.5796075215</v>
      </c>
      <c r="I58" s="187">
        <f t="shared" si="4"/>
        <v>-3749620.731038204</v>
      </c>
      <c r="J58" s="219">
        <f t="shared" si="5"/>
        <v>-78742035.35180227</v>
      </c>
    </row>
    <row r="59" spans="2:10" ht="15">
      <c r="B59" s="124" t="str">
        <f t="shared" si="7"/>
        <v>CIH Goal</v>
      </c>
      <c r="C59" s="188">
        <f t="shared" si="8"/>
        <v>111</v>
      </c>
      <c r="D59" s="217">
        <f t="shared" si="9"/>
        <v>-78742035.35180227</v>
      </c>
      <c r="E59" s="187">
        <f>E58*(1+$B$7)</f>
        <v>-206437.31699574715</v>
      </c>
      <c r="F59" s="187">
        <f t="shared" si="6"/>
        <v>-3947423.633439901</v>
      </c>
      <c r="G59" s="187">
        <f t="shared" si="3"/>
        <v>-82895896.30223791</v>
      </c>
      <c r="H59" s="187">
        <f>H58*(1+$B$7)</f>
        <v>-206437.31699574715</v>
      </c>
      <c r="I59" s="187">
        <f t="shared" si="4"/>
        <v>-4155116.680961683</v>
      </c>
      <c r="J59" s="219">
        <f t="shared" si="5"/>
        <v>-87257450.30019534</v>
      </c>
    </row>
    <row r="60" spans="2:10" ht="15">
      <c r="B60" s="124" t="str">
        <f t="shared" si="7"/>
        <v>CIH Goal</v>
      </c>
      <c r="C60" s="188">
        <f t="shared" si="8"/>
        <v>112</v>
      </c>
      <c r="D60" s="217">
        <f t="shared" si="9"/>
        <v>-87257450.30019534</v>
      </c>
      <c r="E60" s="187">
        <f>E59*(1+$B$7)</f>
        <v>-212630.43650561958</v>
      </c>
      <c r="F60" s="187">
        <f t="shared" si="6"/>
        <v>-4373504.036835047</v>
      </c>
      <c r="G60" s="187">
        <f t="shared" si="3"/>
        <v>-91843584.773536</v>
      </c>
      <c r="H60" s="187">
        <f>H59*(1+$B$7)</f>
        <v>-212630.43650561958</v>
      </c>
      <c r="I60" s="187">
        <f t="shared" si="4"/>
        <v>-4602810.76050208</v>
      </c>
      <c r="J60" s="219">
        <f t="shared" si="5"/>
        <v>-96659025.9705437</v>
      </c>
    </row>
    <row r="61" spans="2:10" ht="15">
      <c r="B61" s="124" t="str">
        <f t="shared" si="7"/>
        <v>CIH Goal</v>
      </c>
      <c r="C61" s="188">
        <f t="shared" si="8"/>
        <v>113</v>
      </c>
      <c r="D61" s="217">
        <f t="shared" si="9"/>
        <v>-96659025.9705437</v>
      </c>
      <c r="E61" s="187">
        <f>E60*(1+$B$7)</f>
        <v>-219009.34960078818</v>
      </c>
      <c r="F61" s="187">
        <f t="shared" si="6"/>
        <v>-4843901.766007225</v>
      </c>
      <c r="G61" s="187">
        <f t="shared" si="3"/>
        <v>-101721937.08615172</v>
      </c>
      <c r="H61" s="187">
        <f>H60*(1+$B$7)</f>
        <v>-219009.34960078818</v>
      </c>
      <c r="I61" s="187">
        <f t="shared" si="4"/>
        <v>-5097047.321787626</v>
      </c>
      <c r="J61" s="219">
        <f t="shared" si="5"/>
        <v>-107037993.75754014</v>
      </c>
    </row>
    <row r="62" spans="2:10" ht="15">
      <c r="B62" s="124" t="str">
        <f t="shared" si="7"/>
        <v>CIH Goal</v>
      </c>
      <c r="C62" s="188">
        <f>C61+1</f>
        <v>114</v>
      </c>
      <c r="D62" s="217">
        <f>J61</f>
        <v>-107037993.75754014</v>
      </c>
      <c r="E62" s="187">
        <f>E61*(1+$B$7)</f>
        <v>-225579.63008881183</v>
      </c>
      <c r="F62" s="187">
        <f t="shared" si="6"/>
        <v>-5363178.669381447</v>
      </c>
      <c r="G62" s="187">
        <f t="shared" si="3"/>
        <v>-112626752.05701038</v>
      </c>
      <c r="H62" s="187">
        <f>H61*(1+$B$7)</f>
        <v>-225579.63008881183</v>
      </c>
      <c r="I62" s="187">
        <f t="shared" si="4"/>
        <v>-5642616.584354959</v>
      </c>
      <c r="J62" s="219">
        <f t="shared" si="5"/>
        <v>-118494948.27145416</v>
      </c>
    </row>
    <row r="63" spans="2:10" ht="15">
      <c r="B63" s="124" t="str">
        <f aca="true" t="shared" si="10" ref="B63:B79">IF(J63&lt;0,"CIH Goal","")</f>
        <v>CIH Goal</v>
      </c>
      <c r="C63" s="188">
        <f aca="true" t="shared" si="11" ref="C63:C71">C62+1</f>
        <v>115</v>
      </c>
      <c r="D63" s="217">
        <f aca="true" t="shared" si="12" ref="D63:D71">J62</f>
        <v>-118494948.27145416</v>
      </c>
      <c r="E63" s="187">
        <f>E62*(1+$B$7)</f>
        <v>-232347.0189914762</v>
      </c>
      <c r="F63" s="187">
        <f t="shared" si="6"/>
        <v>-5936364.7645222815</v>
      </c>
      <c r="G63" s="187">
        <f t="shared" si="3"/>
        <v>-124663660.05496791</v>
      </c>
      <c r="H63" s="187">
        <f>H62*(1+$B$7)</f>
        <v>-232347.0189914762</v>
      </c>
      <c r="I63" s="187">
        <f t="shared" si="4"/>
        <v>-6244800.35369797</v>
      </c>
      <c r="J63" s="219">
        <f t="shared" si="5"/>
        <v>-131140807.42765735</v>
      </c>
    </row>
    <row r="64" spans="2:10" ht="15">
      <c r="B64" s="124" t="str">
        <f t="shared" si="10"/>
        <v>CIH Goal</v>
      </c>
      <c r="C64" s="188">
        <f t="shared" si="11"/>
        <v>116</v>
      </c>
      <c r="D64" s="217">
        <f t="shared" si="12"/>
        <v>-131140807.42765735</v>
      </c>
      <c r="E64" s="187">
        <f>E63*(1+$B$7)</f>
        <v>-239317.4295612205</v>
      </c>
      <c r="F64" s="187">
        <f t="shared" si="6"/>
        <v>-6569006.242860929</v>
      </c>
      <c r="G64" s="187">
        <f t="shared" si="3"/>
        <v>-137949131.1000795</v>
      </c>
      <c r="H64" s="187">
        <f>H63*(1+$B$7)</f>
        <v>-239317.4295612205</v>
      </c>
      <c r="I64" s="187">
        <f t="shared" si="4"/>
        <v>-6909422.426482037</v>
      </c>
      <c r="J64" s="219">
        <f t="shared" si="5"/>
        <v>-145097870.95612276</v>
      </c>
    </row>
    <row r="65" spans="2:10" ht="15">
      <c r="B65" s="124" t="str">
        <f t="shared" si="10"/>
        <v>CIH Goal</v>
      </c>
      <c r="C65" s="188">
        <f t="shared" si="11"/>
        <v>117</v>
      </c>
      <c r="D65" s="217">
        <f t="shared" si="12"/>
        <v>-145097870.95612276</v>
      </c>
      <c r="E65" s="187">
        <f>E64*(1+$B$7)</f>
        <v>-246496.9524480571</v>
      </c>
      <c r="F65" s="187">
        <f t="shared" si="6"/>
        <v>-7267218.395428542</v>
      </c>
      <c r="G65" s="187">
        <f t="shared" si="3"/>
        <v>-152611586.30399936</v>
      </c>
      <c r="H65" s="187">
        <f>H64*(1+$B$7)</f>
        <v>-246496.9524480571</v>
      </c>
      <c r="I65" s="187">
        <f t="shared" si="4"/>
        <v>-7642904.162822372</v>
      </c>
      <c r="J65" s="219">
        <f t="shared" si="5"/>
        <v>-160500987.4192698</v>
      </c>
    </row>
    <row r="66" spans="2:10" ht="15">
      <c r="B66" s="124" t="str">
        <f t="shared" si="10"/>
        <v>CIH Goal</v>
      </c>
      <c r="C66" s="188">
        <f t="shared" si="11"/>
        <v>118</v>
      </c>
      <c r="D66" s="217">
        <f t="shared" si="12"/>
        <v>-160500987.4192698</v>
      </c>
      <c r="E66" s="187">
        <f>E65*(1+$B$7)</f>
        <v>-253891.86102149883</v>
      </c>
      <c r="F66" s="187">
        <f t="shared" si="6"/>
        <v>-8037743.964014565</v>
      </c>
      <c r="G66" s="187">
        <f t="shared" si="3"/>
        <v>-168792623.24430585</v>
      </c>
      <c r="H66" s="187">
        <f>H65*(1+$B$7)</f>
        <v>-253891.86102149883</v>
      </c>
      <c r="I66" s="187">
        <f t="shared" si="4"/>
        <v>-8452325.755266367</v>
      </c>
      <c r="J66" s="219">
        <f t="shared" si="5"/>
        <v>-177498840.8605937</v>
      </c>
    </row>
    <row r="67" spans="2:10" ht="15">
      <c r="B67" s="124" t="str">
        <f t="shared" si="10"/>
        <v>CIH Goal</v>
      </c>
      <c r="C67" s="188">
        <f t="shared" si="11"/>
        <v>119</v>
      </c>
      <c r="D67" s="217">
        <f t="shared" si="12"/>
        <v>-177498840.8605937</v>
      </c>
      <c r="E67" s="187">
        <f>E66*(1+$B$7)</f>
        <v>-261508.6168521438</v>
      </c>
      <c r="F67" s="187">
        <f t="shared" si="6"/>
        <v>-8888017.473872293</v>
      </c>
      <c r="G67" s="187">
        <f t="shared" si="3"/>
        <v>-186648366.95131814</v>
      </c>
      <c r="H67" s="187">
        <f>H66*(1+$B$7)</f>
        <v>-261508.6168521438</v>
      </c>
      <c r="I67" s="187">
        <f t="shared" si="4"/>
        <v>-9345493.778408514</v>
      </c>
      <c r="J67" s="219">
        <f t="shared" si="5"/>
        <v>-196255369.3465788</v>
      </c>
    </row>
    <row r="68" spans="2:10" ht="15">
      <c r="B68" s="124" t="str">
        <f t="shared" si="10"/>
        <v>CIH Goal</v>
      </c>
      <c r="C68" s="188">
        <f t="shared" si="11"/>
        <v>120</v>
      </c>
      <c r="D68" s="217">
        <f t="shared" si="12"/>
        <v>-196255369.3465788</v>
      </c>
      <c r="E68" s="187">
        <f>E67*(1+$B$7)</f>
        <v>-269353.87535770814</v>
      </c>
      <c r="F68" s="187">
        <f t="shared" si="6"/>
        <v>-9826236.161096826</v>
      </c>
      <c r="G68" s="187">
        <f t="shared" si="3"/>
        <v>-206350959.38303334</v>
      </c>
      <c r="H68" s="187">
        <f>H67*(1+$B$7)</f>
        <v>-269353.87535770814</v>
      </c>
      <c r="I68" s="187">
        <f t="shared" si="4"/>
        <v>-10331015.662919553</v>
      </c>
      <c r="J68" s="219">
        <f t="shared" si="5"/>
        <v>-216951328.9213106</v>
      </c>
    </row>
    <row r="69" spans="2:10" ht="15">
      <c r="B69" s="124" t="str">
        <f t="shared" si="10"/>
        <v>CIH Goal</v>
      </c>
      <c r="C69" s="188">
        <f t="shared" si="11"/>
        <v>121</v>
      </c>
      <c r="D69" s="217">
        <f t="shared" si="12"/>
        <v>-216951328.9213106</v>
      </c>
      <c r="E69" s="187">
        <f>E68*(1+$B$7)</f>
        <v>-277434.4916184394</v>
      </c>
      <c r="F69" s="187">
        <f t="shared" si="6"/>
        <v>-10861438.170646451</v>
      </c>
      <c r="G69" s="187">
        <f t="shared" si="3"/>
        <v>-228090201.5835755</v>
      </c>
      <c r="H69" s="187">
        <f>H68*(1+$B$7)</f>
        <v>-277434.4916184394</v>
      </c>
      <c r="I69" s="187">
        <f t="shared" si="4"/>
        <v>-11418381.803759696</v>
      </c>
      <c r="J69" s="219">
        <f t="shared" si="5"/>
        <v>-239786017.8789536</v>
      </c>
    </row>
    <row r="70" spans="2:10" ht="15">
      <c r="B70" s="124" t="str">
        <f t="shared" si="10"/>
        <v>CIH Goal</v>
      </c>
      <c r="C70" s="188">
        <f t="shared" si="11"/>
        <v>122</v>
      </c>
      <c r="D70" s="217">
        <f t="shared" si="12"/>
        <v>-239786017.8789536</v>
      </c>
      <c r="E70" s="187">
        <f>E69*(1+$B$7)</f>
        <v>-285757.52636699256</v>
      </c>
      <c r="F70" s="187">
        <f t="shared" si="6"/>
        <v>-12003588.77026603</v>
      </c>
      <c r="G70" s="187">
        <f t="shared" si="3"/>
        <v>-252075364.1755866</v>
      </c>
      <c r="H70" s="187">
        <f>H69*(1+$B$7)</f>
        <v>-285757.52636699256</v>
      </c>
      <c r="I70" s="187">
        <f t="shared" si="4"/>
        <v>-12618056.08509768</v>
      </c>
      <c r="J70" s="219">
        <f t="shared" si="5"/>
        <v>-264979177.78705126</v>
      </c>
    </row>
    <row r="71" spans="2:10" ht="15">
      <c r="B71" s="124" t="str">
        <f t="shared" si="10"/>
        <v>CIH Goal</v>
      </c>
      <c r="C71" s="188">
        <f t="shared" si="11"/>
        <v>123</v>
      </c>
      <c r="D71" s="217">
        <f t="shared" si="12"/>
        <v>-264979177.78705126</v>
      </c>
      <c r="E71" s="187">
        <f>E70*(1+$B$7)</f>
        <v>-294330.25215800235</v>
      </c>
      <c r="F71" s="187">
        <f t="shared" si="6"/>
        <v>-13263675.401960464</v>
      </c>
      <c r="G71" s="187">
        <f t="shared" si="3"/>
        <v>-278537183.44116974</v>
      </c>
      <c r="H71" s="187">
        <f>H70*(1+$B$7)</f>
        <v>-294330.25215800235</v>
      </c>
      <c r="I71" s="187">
        <f t="shared" si="4"/>
        <v>-13941575.684666388</v>
      </c>
      <c r="J71" s="219">
        <f t="shared" si="5"/>
        <v>-292773089.3779941</v>
      </c>
    </row>
    <row r="72" spans="2:10" ht="15">
      <c r="B72" s="124" t="str">
        <f t="shared" si="10"/>
        <v>CIH Goal</v>
      </c>
      <c r="C72" s="188">
        <f>C71+1</f>
        <v>124</v>
      </c>
      <c r="D72" s="217">
        <f>J71</f>
        <v>-292773089.3779941</v>
      </c>
      <c r="E72" s="187">
        <f>E71*(1+$B$7)</f>
        <v>-303160.15972274245</v>
      </c>
      <c r="F72" s="187">
        <f t="shared" si="6"/>
        <v>-14653812.476885844</v>
      </c>
      <c r="G72" s="187">
        <f t="shared" si="3"/>
        <v>-307730062.0146027</v>
      </c>
      <c r="H72" s="187">
        <f>H71*(1+$B$7)</f>
        <v>-303160.15972274245</v>
      </c>
      <c r="I72" s="187">
        <f t="shared" si="4"/>
        <v>-15401661.108716274</v>
      </c>
      <c r="J72" s="219">
        <f t="shared" si="5"/>
        <v>-323434883.2830417</v>
      </c>
    </row>
    <row r="73" spans="2:10" ht="15">
      <c r="B73" s="124" t="str">
        <f t="shared" si="10"/>
        <v>CIH Goal</v>
      </c>
      <c r="C73" s="188">
        <f aca="true" t="shared" si="13" ref="C73:C79">C72+1</f>
        <v>125</v>
      </c>
      <c r="D73" s="217">
        <f aca="true" t="shared" si="14" ref="D73:D79">J72</f>
        <v>-323434883.2830417</v>
      </c>
      <c r="E73" s="187">
        <f>E72*(1+$B$7)</f>
        <v>-312254.96451442473</v>
      </c>
      <c r="F73" s="187">
        <f t="shared" si="6"/>
        <v>-16187356.912377808</v>
      </c>
      <c r="G73" s="187">
        <f t="shared" si="3"/>
        <v>-339934495.159934</v>
      </c>
      <c r="H73" s="187">
        <f>H72*(1+$B$7)</f>
        <v>-312254.96451442473</v>
      </c>
      <c r="I73" s="187">
        <f t="shared" si="4"/>
        <v>-17012337.506222423</v>
      </c>
      <c r="J73" s="219">
        <f t="shared" si="5"/>
        <v>-357259087.63067085</v>
      </c>
    </row>
    <row r="74" spans="2:10" ht="15">
      <c r="B74" s="124" t="str">
        <f t="shared" si="10"/>
        <v>CIH Goal</v>
      </c>
      <c r="C74" s="188">
        <f t="shared" si="13"/>
        <v>126</v>
      </c>
      <c r="D74" s="217">
        <f t="shared" si="14"/>
        <v>-357259087.63067085</v>
      </c>
      <c r="E74" s="187">
        <f>E73*(1+$B$7)</f>
        <v>-321622.6134498575</v>
      </c>
      <c r="F74" s="187">
        <f t="shared" si="6"/>
        <v>-17879035.512206037</v>
      </c>
      <c r="G74" s="187">
        <f t="shared" si="3"/>
        <v>-375459745.75632674</v>
      </c>
      <c r="H74" s="187">
        <f>H73*(1+$B$7)</f>
        <v>-321622.6134498575</v>
      </c>
      <c r="I74" s="187">
        <f t="shared" si="4"/>
        <v>-18789068.41848883</v>
      </c>
      <c r="J74" s="219">
        <f t="shared" si="5"/>
        <v>-394570436.78826547</v>
      </c>
    </row>
    <row r="75" spans="2:10" ht="15">
      <c r="B75" s="124" t="str">
        <f t="shared" si="10"/>
        <v>CIH Goal</v>
      </c>
      <c r="C75" s="188">
        <f t="shared" si="13"/>
        <v>127</v>
      </c>
      <c r="D75" s="217">
        <f t="shared" si="14"/>
        <v>-394570436.78826547</v>
      </c>
      <c r="E75" s="187">
        <f>E74*(1+$B$7)</f>
        <v>-331271.29185335326</v>
      </c>
      <c r="F75" s="187">
        <f t="shared" si="6"/>
        <v>-19745085.40400594</v>
      </c>
      <c r="G75" s="187">
        <f t="shared" si="3"/>
        <v>-414646793.4841248</v>
      </c>
      <c r="H75" s="187">
        <f>H74*(1+$B$7)</f>
        <v>-331271.29185335326</v>
      </c>
      <c r="I75" s="187">
        <f t="shared" si="4"/>
        <v>-20748903.23879891</v>
      </c>
      <c r="J75" s="219">
        <f t="shared" si="5"/>
        <v>-435726968.01477706</v>
      </c>
    </row>
    <row r="76" spans="2:10" ht="15">
      <c r="B76" s="124" t="str">
        <f t="shared" si="10"/>
        <v>CIH Goal</v>
      </c>
      <c r="C76" s="188">
        <f t="shared" si="13"/>
        <v>128</v>
      </c>
      <c r="D76" s="217">
        <f t="shared" si="14"/>
        <v>-435726968.01477706</v>
      </c>
      <c r="E76" s="187">
        <f>E75*(1+$B$7)</f>
        <v>-341209.4306089539</v>
      </c>
      <c r="F76" s="187">
        <f t="shared" si="6"/>
        <v>-21803408.872269303</v>
      </c>
      <c r="G76" s="187">
        <f t="shared" si="3"/>
        <v>-457871586.3176553</v>
      </c>
      <c r="H76" s="187">
        <f>H75*(1+$B$7)</f>
        <v>-341209.4306089539</v>
      </c>
      <c r="I76" s="187">
        <f t="shared" si="4"/>
        <v>-22910639.787413213</v>
      </c>
      <c r="J76" s="219">
        <f t="shared" si="5"/>
        <v>-481123435.5356775</v>
      </c>
    </row>
    <row r="77" spans="2:10" ht="15">
      <c r="B77" s="124" t="str">
        <f t="shared" si="10"/>
        <v>CIH Goal</v>
      </c>
      <c r="C77" s="188">
        <f t="shared" si="13"/>
        <v>129</v>
      </c>
      <c r="D77" s="217">
        <f t="shared" si="14"/>
        <v>-481123435.5356775</v>
      </c>
      <c r="E77" s="187">
        <f>E76*(1+$B$7)</f>
        <v>-351445.7135272225</v>
      </c>
      <c r="F77" s="187">
        <f t="shared" si="6"/>
        <v>-24073744.062460236</v>
      </c>
      <c r="G77" s="187">
        <f t="shared" si="3"/>
        <v>-505548625.31166494</v>
      </c>
      <c r="H77" s="187">
        <f>H76*(1+$B$7)</f>
        <v>-351445.7135272225</v>
      </c>
      <c r="I77" s="187">
        <f t="shared" si="4"/>
        <v>-25295003.551259607</v>
      </c>
      <c r="J77" s="219">
        <f t="shared" si="5"/>
        <v>-531195074.5764518</v>
      </c>
    </row>
    <row r="78" spans="2:10" ht="15">
      <c r="B78" s="124" t="str">
        <f t="shared" si="10"/>
        <v>CIH Goal</v>
      </c>
      <c r="C78" s="188">
        <f t="shared" si="13"/>
        <v>130</v>
      </c>
      <c r="D78" s="217">
        <f t="shared" si="14"/>
        <v>-531195074.5764518</v>
      </c>
      <c r="E78" s="187">
        <f>E77*(1+$B$7)</f>
        <v>-361989.0849330392</v>
      </c>
      <c r="F78" s="187">
        <f t="shared" si="6"/>
        <v>-26577853.183069244</v>
      </c>
      <c r="G78" s="187">
        <f aca="true" t="shared" si="15" ref="G78:G113">D78+E78+F78</f>
        <v>-558134916.844454</v>
      </c>
      <c r="H78" s="187">
        <f>H77*(1+$B$7)</f>
        <v>-361989.0849330392</v>
      </c>
      <c r="I78" s="187">
        <f aca="true" t="shared" si="16" ref="I78:I113">(G78+H78)*$B$8</f>
        <v>-27924845.296469357</v>
      </c>
      <c r="J78" s="219">
        <f aca="true" t="shared" si="17" ref="J78:J113">G78+H78+I78</f>
        <v>-586421751.2258564</v>
      </c>
    </row>
    <row r="79" spans="2:10" ht="15">
      <c r="B79" s="124" t="str">
        <f t="shared" si="10"/>
        <v>CIH Goal</v>
      </c>
      <c r="C79" s="188">
        <f t="shared" si="13"/>
        <v>131</v>
      </c>
      <c r="D79" s="217">
        <f t="shared" si="14"/>
        <v>-586421751.2258564</v>
      </c>
      <c r="E79" s="187">
        <f>E78*(1+$B$7)</f>
        <v>-372848.7574810304</v>
      </c>
      <c r="F79" s="187">
        <f aca="true" t="shared" si="18" ref="F79:F113">(D79+E79)*$B$8</f>
        <v>-29339729.999166872</v>
      </c>
      <c r="G79" s="187">
        <f t="shared" si="15"/>
        <v>-616134329.9825042</v>
      </c>
      <c r="H79" s="187">
        <f>H78*(1+$B$7)</f>
        <v>-372848.7574810304</v>
      </c>
      <c r="I79" s="187">
        <f t="shared" si="16"/>
        <v>-30825358.93699926</v>
      </c>
      <c r="J79" s="219">
        <f t="shared" si="17"/>
        <v>-647332537.6769845</v>
      </c>
    </row>
    <row r="80" spans="2:10" ht="15">
      <c r="B80" s="124" t="str">
        <f aca="true" t="shared" si="19" ref="B80:B86">IF(J80&lt;0,"CIH Goal","")</f>
        <v>CIH Goal</v>
      </c>
      <c r="C80" s="188">
        <f aca="true" t="shared" si="20" ref="C80:C86">C79+1</f>
        <v>132</v>
      </c>
      <c r="D80" s="217">
        <f aca="true" t="shared" si="21" ref="D80:D86">J79</f>
        <v>-647332537.6769845</v>
      </c>
      <c r="E80" s="187">
        <f>E79*(1+$B$7)</f>
        <v>-384034.2202054613</v>
      </c>
      <c r="F80" s="187">
        <f t="shared" si="18"/>
        <v>-32385828.5948595</v>
      </c>
      <c r="G80" s="187">
        <f t="shared" si="15"/>
        <v>-680102400.4920495</v>
      </c>
      <c r="H80" s="187">
        <f>H79*(1+$B$7)</f>
        <v>-384034.2202054613</v>
      </c>
      <c r="I80" s="187">
        <f t="shared" si="16"/>
        <v>-34024321.73561274</v>
      </c>
      <c r="J80" s="219">
        <f t="shared" si="17"/>
        <v>-714510756.4478676</v>
      </c>
    </row>
    <row r="81" spans="2:10" ht="15">
      <c r="B81" s="124" t="str">
        <f t="shared" si="19"/>
        <v>CIH Goal</v>
      </c>
      <c r="C81" s="188">
        <f t="shared" si="20"/>
        <v>133</v>
      </c>
      <c r="D81" s="217">
        <f t="shared" si="21"/>
        <v>-714510756.4478676</v>
      </c>
      <c r="E81" s="187">
        <f>E80*(1+$B$7)</f>
        <v>-395555.24681162514</v>
      </c>
      <c r="F81" s="187">
        <f t="shared" si="18"/>
        <v>-35745315.58473396</v>
      </c>
      <c r="G81" s="187">
        <f t="shared" si="15"/>
        <v>-750651627.2794132</v>
      </c>
      <c r="H81" s="187">
        <f>H80*(1+$B$7)</f>
        <v>-395555.24681162514</v>
      </c>
      <c r="I81" s="187">
        <f t="shared" si="16"/>
        <v>-37552359.12631124</v>
      </c>
      <c r="J81" s="219">
        <f t="shared" si="17"/>
        <v>-788599541.6525362</v>
      </c>
    </row>
    <row r="82" spans="2:10" ht="15">
      <c r="B82" s="124" t="str">
        <f t="shared" si="19"/>
        <v>CIH Goal</v>
      </c>
      <c r="C82" s="188">
        <f t="shared" si="20"/>
        <v>134</v>
      </c>
      <c r="D82" s="217">
        <f t="shared" si="21"/>
        <v>-788599541.6525362</v>
      </c>
      <c r="E82" s="187">
        <f>E81*(1+$B$7)</f>
        <v>-407421.9042159739</v>
      </c>
      <c r="F82" s="187">
        <f t="shared" si="18"/>
        <v>-39450348.1778376</v>
      </c>
      <c r="G82" s="187">
        <f t="shared" si="15"/>
        <v>-828457311.7345897</v>
      </c>
      <c r="H82" s="187">
        <f>H81*(1+$B$7)</f>
        <v>-407421.9042159739</v>
      </c>
      <c r="I82" s="187">
        <f t="shared" si="16"/>
        <v>-41443236.68194029</v>
      </c>
      <c r="J82" s="219">
        <f t="shared" si="17"/>
        <v>-870307970.320746</v>
      </c>
    </row>
    <row r="83" spans="2:10" ht="15">
      <c r="B83" s="124" t="str">
        <f t="shared" si="19"/>
        <v>CIH Goal</v>
      </c>
      <c r="C83" s="188">
        <f t="shared" si="20"/>
        <v>135</v>
      </c>
      <c r="D83" s="217">
        <f t="shared" si="21"/>
        <v>-870307970.320746</v>
      </c>
      <c r="E83" s="187">
        <f>E82*(1+$B$7)</f>
        <v>-419644.5613424531</v>
      </c>
      <c r="F83" s="187">
        <f t="shared" si="18"/>
        <v>-43536380.74410442</v>
      </c>
      <c r="G83" s="187">
        <f t="shared" si="15"/>
        <v>-914263995.6261928</v>
      </c>
      <c r="H83" s="187">
        <f>H82*(1+$B$7)</f>
        <v>-419644.5613424531</v>
      </c>
      <c r="I83" s="187">
        <f t="shared" si="16"/>
        <v>-45734182.009376764</v>
      </c>
      <c r="J83" s="219">
        <f t="shared" si="17"/>
        <v>-960417822.196912</v>
      </c>
    </row>
    <row r="84" spans="2:10" ht="15">
      <c r="B84" s="124" t="str">
        <f t="shared" si="19"/>
        <v>CIH Goal</v>
      </c>
      <c r="C84" s="188">
        <f t="shared" si="20"/>
        <v>136</v>
      </c>
      <c r="D84" s="217">
        <f t="shared" si="21"/>
        <v>-960417822.196912</v>
      </c>
      <c r="E84" s="187">
        <f>E83*(1+$B$7)</f>
        <v>-432233.8981827267</v>
      </c>
      <c r="F84" s="187">
        <f t="shared" si="18"/>
        <v>-48042502.80475474</v>
      </c>
      <c r="G84" s="187">
        <f t="shared" si="15"/>
        <v>-1008892558.8998495</v>
      </c>
      <c r="H84" s="187">
        <f>H83*(1+$B$7)</f>
        <v>-432233.8981827267</v>
      </c>
      <c r="I84" s="187">
        <f t="shared" si="16"/>
        <v>-50466239.639901616</v>
      </c>
      <c r="J84" s="219">
        <f t="shared" si="17"/>
        <v>-1059791032.4379339</v>
      </c>
    </row>
    <row r="85" spans="2:10" ht="15">
      <c r="B85" s="124" t="str">
        <f t="shared" si="19"/>
        <v>CIH Goal</v>
      </c>
      <c r="C85" s="188">
        <f t="shared" si="20"/>
        <v>137</v>
      </c>
      <c r="D85" s="217">
        <f t="shared" si="21"/>
        <v>-1059791032.4379339</v>
      </c>
      <c r="E85" s="187">
        <f>E84*(1+$B$7)</f>
        <v>-445200.9151282085</v>
      </c>
      <c r="F85" s="187">
        <f t="shared" si="18"/>
        <v>-53011811.66765311</v>
      </c>
      <c r="G85" s="187">
        <f t="shared" si="15"/>
        <v>-1113248045.0207152</v>
      </c>
      <c r="H85" s="187">
        <f>H84*(1+$B$7)</f>
        <v>-445200.9151282085</v>
      </c>
      <c r="I85" s="187">
        <f t="shared" si="16"/>
        <v>-55684662.29679218</v>
      </c>
      <c r="J85" s="219">
        <f t="shared" si="17"/>
        <v>-1169377908.2326357</v>
      </c>
    </row>
    <row r="86" spans="2:10" ht="15">
      <c r="B86" s="124" t="str">
        <f t="shared" si="19"/>
        <v>CIH Goal</v>
      </c>
      <c r="C86" s="188">
        <f t="shared" si="20"/>
        <v>138</v>
      </c>
      <c r="D86" s="217">
        <f t="shared" si="21"/>
        <v>-1169377908.2326357</v>
      </c>
      <c r="E86" s="187">
        <f>E85*(1+$B$7)</f>
        <v>-458556.94258205476</v>
      </c>
      <c r="F86" s="187">
        <f t="shared" si="18"/>
        <v>-58491823.2587609</v>
      </c>
      <c r="G86" s="187">
        <f t="shared" si="15"/>
        <v>-1228328288.4339788</v>
      </c>
      <c r="H86" s="187">
        <f>H85*(1+$B$7)</f>
        <v>-458556.94258205476</v>
      </c>
      <c r="I86" s="187">
        <f t="shared" si="16"/>
        <v>-61439342.26882805</v>
      </c>
      <c r="J86" s="219">
        <f t="shared" si="17"/>
        <v>-1290226187.645389</v>
      </c>
    </row>
    <row r="87" spans="2:10" ht="15">
      <c r="B87" s="124" t="str">
        <f aca="true" t="shared" si="22" ref="B87:B102">IF(J87&lt;0,"CIH Goal","")</f>
        <v>CIH Goal</v>
      </c>
      <c r="C87" s="188">
        <f aca="true" t="shared" si="23" ref="C87:C102">C86+1</f>
        <v>139</v>
      </c>
      <c r="D87" s="217">
        <f aca="true" t="shared" si="24" ref="D87:D102">J86</f>
        <v>-1290226187.645389</v>
      </c>
      <c r="E87" s="187">
        <f>E86*(1+$B$7)</f>
        <v>-472313.6508595164</v>
      </c>
      <c r="F87" s="187">
        <f t="shared" si="18"/>
        <v>-64534925.06481244</v>
      </c>
      <c r="G87" s="187">
        <f t="shared" si="15"/>
        <v>-1355233426.361061</v>
      </c>
      <c r="H87" s="187">
        <f>H86*(1+$B$7)</f>
        <v>-472313.6508595164</v>
      </c>
      <c r="I87" s="187">
        <f t="shared" si="16"/>
        <v>-67785287.00059603</v>
      </c>
      <c r="J87" s="219">
        <f t="shared" si="17"/>
        <v>-1423491027.0125167</v>
      </c>
    </row>
    <row r="88" spans="2:10" ht="15">
      <c r="B88" s="124" t="str">
        <f t="shared" si="22"/>
        <v>CIH Goal</v>
      </c>
      <c r="C88" s="188">
        <f t="shared" si="23"/>
        <v>140</v>
      </c>
      <c r="D88" s="217">
        <f t="shared" si="24"/>
        <v>-1423491027.0125167</v>
      </c>
      <c r="E88" s="187">
        <f>E87*(1+$B$7)</f>
        <v>-486483.0603853019</v>
      </c>
      <c r="F88" s="187">
        <f t="shared" si="18"/>
        <v>-71198875.5036451</v>
      </c>
      <c r="G88" s="187">
        <f t="shared" si="15"/>
        <v>-1495176385.5765471</v>
      </c>
      <c r="H88" s="187">
        <f>H87*(1+$B$7)</f>
        <v>-486483.0603853019</v>
      </c>
      <c r="I88" s="187">
        <f t="shared" si="16"/>
        <v>-74783143.43184662</v>
      </c>
      <c r="J88" s="219">
        <f t="shared" si="17"/>
        <v>-1570446012.068779</v>
      </c>
    </row>
    <row r="89" spans="2:10" ht="15">
      <c r="B89" s="124" t="str">
        <f t="shared" si="22"/>
        <v>CIH Goal</v>
      </c>
      <c r="C89" s="188">
        <f t="shared" si="23"/>
        <v>141</v>
      </c>
      <c r="D89" s="217">
        <f t="shared" si="24"/>
        <v>-1570446012.068779</v>
      </c>
      <c r="E89" s="187">
        <f>E88*(1+$B$7)</f>
        <v>-501077.55219686095</v>
      </c>
      <c r="F89" s="187">
        <f t="shared" si="18"/>
        <v>-78547354.48104881</v>
      </c>
      <c r="G89" s="187">
        <f t="shared" si="15"/>
        <v>-1649494444.1020248</v>
      </c>
      <c r="H89" s="187">
        <f>H88*(1+$B$7)</f>
        <v>-501077.55219686095</v>
      </c>
      <c r="I89" s="187">
        <f t="shared" si="16"/>
        <v>-82499776.0827111</v>
      </c>
      <c r="J89" s="219">
        <f t="shared" si="17"/>
        <v>-1732495297.7369328</v>
      </c>
    </row>
    <row r="90" spans="2:10" ht="15">
      <c r="B90" s="124" t="str">
        <f t="shared" si="22"/>
        <v>CIH Goal</v>
      </c>
      <c r="C90" s="188">
        <f t="shared" si="23"/>
        <v>142</v>
      </c>
      <c r="D90" s="217">
        <f t="shared" si="24"/>
        <v>-1732495297.7369328</v>
      </c>
      <c r="E90" s="187">
        <f>E89*(1+$B$7)</f>
        <v>-516109.8787627668</v>
      </c>
      <c r="F90" s="187">
        <f t="shared" si="18"/>
        <v>-86650570.38078478</v>
      </c>
      <c r="G90" s="187">
        <f t="shared" si="15"/>
        <v>-1819661977.9964802</v>
      </c>
      <c r="H90" s="187">
        <f>H89*(1+$B$7)</f>
        <v>-516109.8787627668</v>
      </c>
      <c r="I90" s="187">
        <f t="shared" si="16"/>
        <v>-91008904.39376216</v>
      </c>
      <c r="J90" s="219">
        <f t="shared" si="17"/>
        <v>-1911186992.269005</v>
      </c>
    </row>
    <row r="91" spans="2:10" ht="15">
      <c r="B91" s="124" t="str">
        <f t="shared" si="22"/>
        <v>CIH Goal</v>
      </c>
      <c r="C91" s="188">
        <f t="shared" si="23"/>
        <v>143</v>
      </c>
      <c r="D91" s="217">
        <f t="shared" si="24"/>
        <v>-1911186992.269005</v>
      </c>
      <c r="E91" s="187">
        <f>E90*(1+$B$7)</f>
        <v>-531593.1751256498</v>
      </c>
      <c r="F91" s="187">
        <f t="shared" si="18"/>
        <v>-95585929.27220654</v>
      </c>
      <c r="G91" s="187">
        <f t="shared" si="15"/>
        <v>-2007304514.7163372</v>
      </c>
      <c r="H91" s="187">
        <f>H90*(1+$B$7)</f>
        <v>-531593.1751256498</v>
      </c>
      <c r="I91" s="187">
        <f t="shared" si="16"/>
        <v>-100391805.39457315</v>
      </c>
      <c r="J91" s="219">
        <f t="shared" si="17"/>
        <v>-2108227913.286036</v>
      </c>
    </row>
    <row r="92" spans="2:10" ht="15">
      <c r="B92" s="124" t="str">
        <f t="shared" si="22"/>
        <v>CIH Goal</v>
      </c>
      <c r="C92" s="188">
        <f t="shared" si="23"/>
        <v>144</v>
      </c>
      <c r="D92" s="217">
        <f t="shared" si="24"/>
        <v>-2108227913.286036</v>
      </c>
      <c r="E92" s="187">
        <f>E91*(1+$B$7)</f>
        <v>-547540.9703794193</v>
      </c>
      <c r="F92" s="187">
        <f t="shared" si="18"/>
        <v>-105438772.71282077</v>
      </c>
      <c r="G92" s="187">
        <f t="shared" si="15"/>
        <v>-2214214226.9692364</v>
      </c>
      <c r="H92" s="187">
        <f>H91*(1+$B$7)</f>
        <v>-547540.9703794193</v>
      </c>
      <c r="I92" s="187">
        <f t="shared" si="16"/>
        <v>-110738088.39698079</v>
      </c>
      <c r="J92" s="219">
        <f t="shared" si="17"/>
        <v>-2325499856.3365965</v>
      </c>
    </row>
    <row r="93" spans="2:10" ht="15">
      <c r="B93" s="124" t="str">
        <f t="shared" si="22"/>
        <v>CIH Goal</v>
      </c>
      <c r="C93" s="188">
        <f t="shared" si="23"/>
        <v>145</v>
      </c>
      <c r="D93" s="217">
        <f t="shared" si="24"/>
        <v>-2325499856.3365965</v>
      </c>
      <c r="E93" s="187">
        <f>E92*(1+$B$7)</f>
        <v>-563967.1994908019</v>
      </c>
      <c r="F93" s="187">
        <f t="shared" si="18"/>
        <v>-116303191.17680438</v>
      </c>
      <c r="G93" s="187">
        <f t="shared" si="15"/>
        <v>-2442367014.712892</v>
      </c>
      <c r="H93" s="187">
        <f>H92*(1+$B$7)</f>
        <v>-563967.1994908019</v>
      </c>
      <c r="I93" s="187">
        <f t="shared" si="16"/>
        <v>-122146549.09561916</v>
      </c>
      <c r="J93" s="219">
        <f t="shared" si="17"/>
        <v>-2565077531.0080023</v>
      </c>
    </row>
    <row r="94" spans="2:10" ht="15">
      <c r="B94" s="124" t="str">
        <f t="shared" si="22"/>
        <v>CIH Goal</v>
      </c>
      <c r="C94" s="188">
        <f t="shared" si="23"/>
        <v>146</v>
      </c>
      <c r="D94" s="217">
        <f t="shared" si="24"/>
        <v>-2565077531.0080023</v>
      </c>
      <c r="E94" s="187">
        <f>E93*(1+$B$7)</f>
        <v>-580886.2154755259</v>
      </c>
      <c r="F94" s="187">
        <f t="shared" si="18"/>
        <v>-128282920.8611739</v>
      </c>
      <c r="G94" s="187">
        <f t="shared" si="15"/>
        <v>-2693941338.084652</v>
      </c>
      <c r="H94" s="187">
        <f>H93*(1+$B$7)</f>
        <v>-580886.2154755259</v>
      </c>
      <c r="I94" s="187">
        <f t="shared" si="16"/>
        <v>-134726111.21500638</v>
      </c>
      <c r="J94" s="219">
        <f t="shared" si="17"/>
        <v>-2829248335.515134</v>
      </c>
    </row>
    <row r="95" spans="2:10" ht="15">
      <c r="B95" s="124" t="str">
        <f t="shared" si="22"/>
        <v>CIH Goal</v>
      </c>
      <c r="C95" s="188">
        <f t="shared" si="23"/>
        <v>147</v>
      </c>
      <c r="D95" s="217">
        <f t="shared" si="24"/>
        <v>-2829248335.515134</v>
      </c>
      <c r="E95" s="187">
        <f>E94*(1+$B$7)</f>
        <v>-598312.8019397918</v>
      </c>
      <c r="F95" s="187">
        <f t="shared" si="18"/>
        <v>-141492332.4158537</v>
      </c>
      <c r="G95" s="187">
        <f t="shared" si="15"/>
        <v>-2971338980.7329273</v>
      </c>
      <c r="H95" s="187">
        <f>H94*(1+$B$7)</f>
        <v>-598312.8019397918</v>
      </c>
      <c r="I95" s="187">
        <f t="shared" si="16"/>
        <v>-148596864.67674336</v>
      </c>
      <c r="J95" s="219">
        <f t="shared" si="17"/>
        <v>-3120534158.211611</v>
      </c>
    </row>
    <row r="96" spans="2:10" ht="15">
      <c r="B96" s="124" t="str">
        <f t="shared" si="22"/>
        <v>CIH Goal</v>
      </c>
      <c r="C96" s="188">
        <f t="shared" si="23"/>
        <v>148</v>
      </c>
      <c r="D96" s="217">
        <f t="shared" si="24"/>
        <v>-3120534158.211611</v>
      </c>
      <c r="E96" s="187">
        <f>E95*(1+$B$7)</f>
        <v>-616262.1859979855</v>
      </c>
      <c r="F96" s="187">
        <f t="shared" si="18"/>
        <v>-156057521.01988044</v>
      </c>
      <c r="G96" s="187">
        <f t="shared" si="15"/>
        <v>-3277207941.417489</v>
      </c>
      <c r="H96" s="187">
        <f>H95*(1+$B$7)</f>
        <v>-616262.1859979855</v>
      </c>
      <c r="I96" s="187">
        <f t="shared" si="16"/>
        <v>-163891210.18017435</v>
      </c>
      <c r="J96" s="219">
        <f t="shared" si="17"/>
        <v>-3441715413.7836614</v>
      </c>
    </row>
    <row r="97" spans="2:10" ht="15">
      <c r="B97" s="124" t="str">
        <f t="shared" si="22"/>
        <v>CIH Goal</v>
      </c>
      <c r="C97" s="188">
        <f t="shared" si="23"/>
        <v>149</v>
      </c>
      <c r="D97" s="217">
        <f t="shared" si="24"/>
        <v>-3441715413.7836614</v>
      </c>
      <c r="E97" s="187">
        <f>E96*(1+$B$7)</f>
        <v>-634750.0515779251</v>
      </c>
      <c r="F97" s="187">
        <f t="shared" si="18"/>
        <v>-172117508.19176197</v>
      </c>
      <c r="G97" s="187">
        <f t="shared" si="15"/>
        <v>-3614467672.0270014</v>
      </c>
      <c r="H97" s="187">
        <f>H96*(1+$B$7)</f>
        <v>-634750.0515779251</v>
      </c>
      <c r="I97" s="187">
        <f t="shared" si="16"/>
        <v>-180755121.10392898</v>
      </c>
      <c r="J97" s="219">
        <f t="shared" si="17"/>
        <v>-3795857543.1825085</v>
      </c>
    </row>
    <row r="98" spans="2:10" ht="15">
      <c r="B98" s="124" t="str">
        <f t="shared" si="22"/>
        <v>CIH Goal</v>
      </c>
      <c r="C98" s="188">
        <f t="shared" si="23"/>
        <v>150</v>
      </c>
      <c r="D98" s="217">
        <f t="shared" si="24"/>
        <v>-3795857543.1825085</v>
      </c>
      <c r="E98" s="187">
        <f>E97*(1+$B$7)</f>
        <v>-653792.5531252628</v>
      </c>
      <c r="F98" s="187">
        <f t="shared" si="18"/>
        <v>-189825566.7867817</v>
      </c>
      <c r="G98" s="187">
        <f t="shared" si="15"/>
        <v>-3986336902.5224156</v>
      </c>
      <c r="H98" s="187">
        <f>H97*(1+$B$7)</f>
        <v>-653792.5531252628</v>
      </c>
      <c r="I98" s="187">
        <f t="shared" si="16"/>
        <v>-199349534.75377706</v>
      </c>
      <c r="J98" s="219">
        <f t="shared" si="17"/>
        <v>-4186340229.829318</v>
      </c>
    </row>
    <row r="99" spans="2:10" ht="15">
      <c r="B99" s="124" t="str">
        <f t="shared" si="22"/>
        <v>CIH Goal</v>
      </c>
      <c r="C99" s="188">
        <f t="shared" si="23"/>
        <v>151</v>
      </c>
      <c r="D99" s="217">
        <f t="shared" si="24"/>
        <v>-4186340229.829318</v>
      </c>
      <c r="E99" s="187">
        <f>E98*(1+$B$7)</f>
        <v>-673406.3297190208</v>
      </c>
      <c r="F99" s="187">
        <f t="shared" si="18"/>
        <v>-209350681.80795187</v>
      </c>
      <c r="G99" s="187">
        <f t="shared" si="15"/>
        <v>-4396364317.966989</v>
      </c>
      <c r="H99" s="187">
        <f>H98*(1+$B$7)</f>
        <v>-673406.3297190208</v>
      </c>
      <c r="I99" s="187">
        <f t="shared" si="16"/>
        <v>-219851886.21483538</v>
      </c>
      <c r="J99" s="219">
        <f t="shared" si="17"/>
        <v>-4616889610.511542</v>
      </c>
    </row>
    <row r="100" spans="2:10" ht="15">
      <c r="B100" s="124" t="str">
        <f t="shared" si="22"/>
        <v>CIH Goal</v>
      </c>
      <c r="C100" s="188">
        <f t="shared" si="23"/>
        <v>152</v>
      </c>
      <c r="D100" s="217">
        <f t="shared" si="24"/>
        <v>-4616889610.511542</v>
      </c>
      <c r="E100" s="187">
        <f>E99*(1+$B$7)</f>
        <v>-693608.5196105913</v>
      </c>
      <c r="F100" s="187">
        <f t="shared" si="18"/>
        <v>-230879160.95155764</v>
      </c>
      <c r="G100" s="187">
        <f t="shared" si="15"/>
        <v>-4848462379.98271</v>
      </c>
      <c r="H100" s="187">
        <f>H99*(1+$B$7)</f>
        <v>-693608.5196105913</v>
      </c>
      <c r="I100" s="187">
        <f t="shared" si="16"/>
        <v>-242457799.42511603</v>
      </c>
      <c r="J100" s="219">
        <f t="shared" si="17"/>
        <v>-5091613787.927436</v>
      </c>
    </row>
    <row r="101" spans="2:10" ht="15">
      <c r="B101" s="124" t="str">
        <f t="shared" si="22"/>
        <v>CIH Goal</v>
      </c>
      <c r="C101" s="188">
        <f t="shared" si="23"/>
        <v>153</v>
      </c>
      <c r="D101" s="217">
        <f t="shared" si="24"/>
        <v>-5091613787.927436</v>
      </c>
      <c r="E101" s="187">
        <f>E100*(1+$B$7)</f>
        <v>-714416.7751989091</v>
      </c>
      <c r="F101" s="187">
        <f t="shared" si="18"/>
        <v>-254616410.23513174</v>
      </c>
      <c r="G101" s="187">
        <f t="shared" si="15"/>
        <v>-5346944614.937767</v>
      </c>
      <c r="H101" s="187">
        <f>H100*(1+$B$7)</f>
        <v>-714416.7751989091</v>
      </c>
      <c r="I101" s="187">
        <f t="shared" si="16"/>
        <v>-267382951.5856483</v>
      </c>
      <c r="J101" s="219">
        <f t="shared" si="17"/>
        <v>-5615041983.2986145</v>
      </c>
    </row>
    <row r="102" spans="2:10" ht="15">
      <c r="B102" s="124" t="str">
        <f t="shared" si="22"/>
        <v>CIH Goal</v>
      </c>
      <c r="C102" s="188">
        <f t="shared" si="23"/>
        <v>154</v>
      </c>
      <c r="D102" s="217">
        <f t="shared" si="24"/>
        <v>-5615041983.2986145</v>
      </c>
      <c r="E102" s="187">
        <f>E101*(1+$B$7)</f>
        <v>-735849.2784548764</v>
      </c>
      <c r="F102" s="187">
        <f t="shared" si="18"/>
        <v>-280788891.6288535</v>
      </c>
      <c r="G102" s="187">
        <f t="shared" si="15"/>
        <v>-5896566724.205923</v>
      </c>
      <c r="H102" s="187">
        <f>H101*(1+$B$7)</f>
        <v>-735849.2784548764</v>
      </c>
      <c r="I102" s="187">
        <f t="shared" si="16"/>
        <v>-294865128.6742189</v>
      </c>
      <c r="J102" s="219">
        <f t="shared" si="17"/>
        <v>-6192167702.158597</v>
      </c>
    </row>
    <row r="103" spans="2:10" ht="15">
      <c r="B103" s="124" t="str">
        <f>IF(J103&lt;0,"CIH Goal","")</f>
        <v>CIH Goal</v>
      </c>
      <c r="C103" s="188">
        <f>C102+1</f>
        <v>155</v>
      </c>
      <c r="D103" s="217">
        <f>J102</f>
        <v>-6192167702.158597</v>
      </c>
      <c r="E103" s="187">
        <f>E102*(1+$B$7)</f>
        <v>-757924.7568085227</v>
      </c>
      <c r="F103" s="187">
        <f t="shared" si="18"/>
        <v>-309646281.3457703</v>
      </c>
      <c r="G103" s="187">
        <f t="shared" si="15"/>
        <v>-6502571908.261175</v>
      </c>
      <c r="H103" s="187">
        <f>H102*(1+$B$7)</f>
        <v>-757924.7568085227</v>
      </c>
      <c r="I103" s="187">
        <f t="shared" si="16"/>
        <v>-325166491.6508992</v>
      </c>
      <c r="J103" s="219">
        <f t="shared" si="17"/>
        <v>-6828496324.668882</v>
      </c>
    </row>
    <row r="104" spans="2:10" ht="15">
      <c r="B104" s="124" t="str">
        <f>IF(J104&lt;0,"CIH Goal","")</f>
        <v>CIH Goal</v>
      </c>
      <c r="C104" s="188">
        <f>C103+1</f>
        <v>156</v>
      </c>
      <c r="D104" s="217">
        <f>J103</f>
        <v>-6828496324.668882</v>
      </c>
      <c r="E104" s="187">
        <f>E103*(1+$B$7)</f>
        <v>-780662.4995127785</v>
      </c>
      <c r="F104" s="187">
        <f t="shared" si="18"/>
        <v>-341463849.3584198</v>
      </c>
      <c r="G104" s="187">
        <f t="shared" si="15"/>
        <v>-7170740836.526814</v>
      </c>
      <c r="H104" s="187">
        <f>H103*(1+$B$7)</f>
        <v>-780662.4995127785</v>
      </c>
      <c r="I104" s="187">
        <f t="shared" si="16"/>
        <v>-358576074.95131636</v>
      </c>
      <c r="J104" s="219">
        <f t="shared" si="17"/>
        <v>-7530097573.977644</v>
      </c>
    </row>
    <row r="105" spans="2:10" ht="15">
      <c r="B105" s="124" t="str">
        <f>IF(J105&lt;0,"CIH Goal","")</f>
        <v>CIH Goal</v>
      </c>
      <c r="C105" s="188">
        <f>C104+1</f>
        <v>157</v>
      </c>
      <c r="D105" s="217">
        <f>J104</f>
        <v>-7530097573.977644</v>
      </c>
      <c r="E105" s="187">
        <f>E104*(1+$B$7)</f>
        <v>-804082.3744981618</v>
      </c>
      <c r="F105" s="187">
        <f t="shared" si="18"/>
        <v>-376545082.81760716</v>
      </c>
      <c r="G105" s="187">
        <f t="shared" si="15"/>
        <v>-7907446739.169749</v>
      </c>
      <c r="H105" s="187">
        <f>H104*(1+$B$7)</f>
        <v>-804082.3744981618</v>
      </c>
      <c r="I105" s="187">
        <f t="shared" si="16"/>
        <v>-395412541.0772124</v>
      </c>
      <c r="J105" s="219">
        <f t="shared" si="17"/>
        <v>-8303663362.62146</v>
      </c>
    </row>
    <row r="106" spans="2:10" ht="15">
      <c r="B106" s="124" t="str">
        <f aca="true" t="shared" si="25" ref="B106:B113">IF(J106&lt;0,"CIH Goal","")</f>
        <v>CIH Goal</v>
      </c>
      <c r="C106" s="188">
        <f aca="true" t="shared" si="26" ref="C106:C168">C105+1</f>
        <v>158</v>
      </c>
      <c r="D106" s="217">
        <f aca="true" t="shared" si="27" ref="D106:D113">J105</f>
        <v>-8303663362.62146</v>
      </c>
      <c r="E106" s="187">
        <f>E105*(1+$B$7)</f>
        <v>-828204.8457331067</v>
      </c>
      <c r="F106" s="187">
        <f t="shared" si="18"/>
        <v>-415224578.3733597</v>
      </c>
      <c r="G106" s="187">
        <f t="shared" si="15"/>
        <v>-8719716145.840553</v>
      </c>
      <c r="H106" s="187">
        <f>H105*(1+$B$7)</f>
        <v>-828204.8457331067</v>
      </c>
      <c r="I106" s="187">
        <f t="shared" si="16"/>
        <v>-436027217.5343144</v>
      </c>
      <c r="J106" s="219">
        <f t="shared" si="17"/>
        <v>-9156571568.220602</v>
      </c>
    </row>
    <row r="107" spans="2:10" ht="15">
      <c r="B107" s="124" t="str">
        <f t="shared" si="25"/>
        <v>CIH Goal</v>
      </c>
      <c r="C107" s="188">
        <f t="shared" si="26"/>
        <v>159</v>
      </c>
      <c r="D107" s="217">
        <f t="shared" si="27"/>
        <v>-9156571568.220602</v>
      </c>
      <c r="E107" s="187">
        <f>E106*(1+$B$7)</f>
        <v>-853050.9911050999</v>
      </c>
      <c r="F107" s="187">
        <f t="shared" si="18"/>
        <v>-457871230.9605854</v>
      </c>
      <c r="G107" s="187">
        <f t="shared" si="15"/>
        <v>-9615295850.172293</v>
      </c>
      <c r="H107" s="187">
        <f>H106*(1+$B$7)</f>
        <v>-853050.9911050999</v>
      </c>
      <c r="I107" s="187">
        <f t="shared" si="16"/>
        <v>-480807445.05816996</v>
      </c>
      <c r="J107" s="219">
        <f t="shared" si="17"/>
        <v>-10096956346.22157</v>
      </c>
    </row>
    <row r="108" spans="2:10" ht="15">
      <c r="B108" s="124" t="str">
        <f t="shared" si="25"/>
        <v>CIH Goal</v>
      </c>
      <c r="C108" s="188">
        <f t="shared" si="26"/>
        <v>160</v>
      </c>
      <c r="D108" s="217">
        <f t="shared" si="27"/>
        <v>-10096956346.22157</v>
      </c>
      <c r="E108" s="187">
        <f>E107*(1+$B$7)</f>
        <v>-878642.520838253</v>
      </c>
      <c r="F108" s="187">
        <f t="shared" si="18"/>
        <v>-504891749.4371204</v>
      </c>
      <c r="G108" s="187">
        <f t="shared" si="15"/>
        <v>-10602726738.179527</v>
      </c>
      <c r="H108" s="187">
        <f>H107*(1+$B$7)</f>
        <v>-878642.520838253</v>
      </c>
      <c r="I108" s="187">
        <f t="shared" si="16"/>
        <v>-530180269.03501827</v>
      </c>
      <c r="J108" s="219">
        <f t="shared" si="17"/>
        <v>-11133785649.735384</v>
      </c>
    </row>
    <row r="109" spans="2:10" ht="15">
      <c r="B109" s="124" t="str">
        <f t="shared" si="25"/>
        <v>CIH Goal</v>
      </c>
      <c r="C109" s="188">
        <f t="shared" si="26"/>
        <v>161</v>
      </c>
      <c r="D109" s="217">
        <f t="shared" si="27"/>
        <v>-11133785649.735384</v>
      </c>
      <c r="E109" s="187">
        <f>E108*(1+$B$7)</f>
        <v>-905001.7964634006</v>
      </c>
      <c r="F109" s="187">
        <f t="shared" si="18"/>
        <v>-556734532.5765923</v>
      </c>
      <c r="G109" s="187">
        <f t="shared" si="15"/>
        <v>-11691425184.108438</v>
      </c>
      <c r="H109" s="187">
        <f>H108*(1+$B$7)</f>
        <v>-905001.7964634006</v>
      </c>
      <c r="I109" s="187">
        <f t="shared" si="16"/>
        <v>-584616509.295245</v>
      </c>
      <c r="J109" s="219">
        <f t="shared" si="17"/>
        <v>-12276946695.200146</v>
      </c>
    </row>
    <row r="110" spans="2:10" ht="15">
      <c r="B110" s="124" t="str">
        <f t="shared" si="25"/>
        <v>CIH Goal</v>
      </c>
      <c r="C110" s="188">
        <f t="shared" si="26"/>
        <v>162</v>
      </c>
      <c r="D110" s="217">
        <f t="shared" si="27"/>
        <v>-12276946695.200146</v>
      </c>
      <c r="E110" s="187">
        <f>E109*(1+$B$7)</f>
        <v>-932151.8503573026</v>
      </c>
      <c r="F110" s="187">
        <f t="shared" si="18"/>
        <v>-613893942.3525251</v>
      </c>
      <c r="G110" s="187">
        <f t="shared" si="15"/>
        <v>-12891772789.403028</v>
      </c>
      <c r="H110" s="187">
        <f>H109*(1+$B$7)</f>
        <v>-932151.8503573026</v>
      </c>
      <c r="I110" s="187">
        <f t="shared" si="16"/>
        <v>-644635247.0626693</v>
      </c>
      <c r="J110" s="219">
        <f t="shared" si="17"/>
        <v>-13537340188.316055</v>
      </c>
    </row>
    <row r="111" spans="2:10" ht="15">
      <c r="B111" s="124" t="str">
        <f t="shared" si="25"/>
        <v>CIH Goal</v>
      </c>
      <c r="C111" s="188">
        <f t="shared" si="26"/>
        <v>163</v>
      </c>
      <c r="D111" s="217">
        <f t="shared" si="27"/>
        <v>-13537340188.316055</v>
      </c>
      <c r="E111" s="187">
        <f>E110*(1+$B$7)</f>
        <v>-960116.4058680217</v>
      </c>
      <c r="F111" s="187">
        <f t="shared" si="18"/>
        <v>-676915015.2360963</v>
      </c>
      <c r="G111" s="187">
        <f t="shared" si="15"/>
        <v>-14215215319.95802</v>
      </c>
      <c r="H111" s="187">
        <f>H110*(1+$B$7)</f>
        <v>-960116.4058680217</v>
      </c>
      <c r="I111" s="187">
        <f t="shared" si="16"/>
        <v>-710808771.8181944</v>
      </c>
      <c r="J111" s="219">
        <f t="shared" si="17"/>
        <v>-14926984208.182083</v>
      </c>
    </row>
    <row r="112" spans="2:10" ht="15">
      <c r="B112" s="124" t="str">
        <f t="shared" si="25"/>
        <v>CIH Goal</v>
      </c>
      <c r="C112" s="188">
        <f t="shared" si="26"/>
        <v>164</v>
      </c>
      <c r="D112" s="217">
        <f t="shared" si="27"/>
        <v>-14926984208.182083</v>
      </c>
      <c r="E112" s="187">
        <f>E111*(1+$B$7)</f>
        <v>-988919.8980440623</v>
      </c>
      <c r="F112" s="187">
        <f t="shared" si="18"/>
        <v>-746398656.4040065</v>
      </c>
      <c r="G112" s="187">
        <f t="shared" si="15"/>
        <v>-15674371784.484135</v>
      </c>
      <c r="H112" s="187">
        <f>H111*(1+$B$7)</f>
        <v>-988919.8980440623</v>
      </c>
      <c r="I112" s="187">
        <f t="shared" si="16"/>
        <v>-783768035.219109</v>
      </c>
      <c r="J112" s="219">
        <f t="shared" si="17"/>
        <v>-16459128739.601288</v>
      </c>
    </row>
    <row r="113" spans="2:10" ht="15">
      <c r="B113" s="124" t="str">
        <f t="shared" si="25"/>
        <v>CIH Goal</v>
      </c>
      <c r="C113" s="188">
        <f t="shared" si="26"/>
        <v>165</v>
      </c>
      <c r="D113" s="217">
        <f t="shared" si="27"/>
        <v>-16459128739.601288</v>
      </c>
      <c r="E113" s="187">
        <f>E112*(1+$B$7)</f>
        <v>-1018587.4949853842</v>
      </c>
      <c r="F113" s="187">
        <f t="shared" si="18"/>
        <v>-823007366.3548137</v>
      </c>
      <c r="G113" s="187">
        <f t="shared" si="15"/>
        <v>-17283154693.451088</v>
      </c>
      <c r="H113" s="187">
        <f>H112*(1+$B$7)</f>
        <v>-1018587.4949853842</v>
      </c>
      <c r="I113" s="187">
        <f t="shared" si="16"/>
        <v>-864208664.0473037</v>
      </c>
      <c r="J113" s="219">
        <f t="shared" si="17"/>
        <v>-18148381944.993374</v>
      </c>
    </row>
    <row r="114" spans="2:10" ht="15">
      <c r="B114" s="124" t="str">
        <f aca="true" t="shared" si="28" ref="B114:B119">IF(J114&lt;0,"CIH Goal","")</f>
        <v>CIH Goal</v>
      </c>
      <c r="C114" s="188">
        <f t="shared" si="26"/>
        <v>166</v>
      </c>
      <c r="D114" s="217">
        <f aca="true" t="shared" si="29" ref="D114:D119">J113</f>
        <v>-18148381944.993374</v>
      </c>
      <c r="E114" s="187">
        <f aca="true" t="shared" si="30" ref="E114:E119">E113*(1+$B$7)</f>
        <v>-1049145.1198349458</v>
      </c>
      <c r="F114" s="187">
        <f aca="true" t="shared" si="31" ref="F114:F119">(D114+E114)*$B$8</f>
        <v>-907471554.5056605</v>
      </c>
      <c r="G114" s="187">
        <f aca="true" t="shared" si="32" ref="G114:G119">D114+E114+F114</f>
        <v>-19056902644.61887</v>
      </c>
      <c r="H114" s="187">
        <f aca="true" t="shared" si="33" ref="H114:H119">H113*(1+$B$7)</f>
        <v>-1049145.1198349458</v>
      </c>
      <c r="I114" s="187">
        <f aca="true" t="shared" si="34" ref="I114:I119">(G114+H114)*$B$8</f>
        <v>-952897589.4869353</v>
      </c>
      <c r="J114" s="219">
        <f aca="true" t="shared" si="35" ref="J114:J119">G114+H114+I114</f>
        <v>-20010849379.22564</v>
      </c>
    </row>
    <row r="115" spans="2:10" ht="15">
      <c r="B115" s="124" t="str">
        <f t="shared" si="28"/>
        <v>CIH Goal</v>
      </c>
      <c r="C115" s="188">
        <f t="shared" si="26"/>
        <v>167</v>
      </c>
      <c r="D115" s="217">
        <f t="shared" si="29"/>
        <v>-20010849379.22564</v>
      </c>
      <c r="E115" s="187">
        <f t="shared" si="30"/>
        <v>-1080619.4734299942</v>
      </c>
      <c r="F115" s="187">
        <f t="shared" si="31"/>
        <v>-1000596499.9349536</v>
      </c>
      <c r="G115" s="187">
        <f t="shared" si="32"/>
        <v>-21012526498.63402</v>
      </c>
      <c r="H115" s="187">
        <f t="shared" si="33"/>
        <v>-1080619.4734299942</v>
      </c>
      <c r="I115" s="187">
        <f t="shared" si="34"/>
        <v>-1050680355.9053726</v>
      </c>
      <c r="J115" s="219">
        <f t="shared" si="35"/>
        <v>-22064287474.012825</v>
      </c>
    </row>
    <row r="116" spans="2:10" ht="15">
      <c r="B116" s="124" t="str">
        <f t="shared" si="28"/>
        <v>CIH Goal</v>
      </c>
      <c r="C116" s="188">
        <f t="shared" si="26"/>
        <v>168</v>
      </c>
      <c r="D116" s="217">
        <f t="shared" si="29"/>
        <v>-22064287474.012825</v>
      </c>
      <c r="E116" s="187">
        <f t="shared" si="30"/>
        <v>-1113038.057632894</v>
      </c>
      <c r="F116" s="187">
        <f t="shared" si="31"/>
        <v>-1103270025.603523</v>
      </c>
      <c r="G116" s="187">
        <f t="shared" si="32"/>
        <v>-23168670537.67398</v>
      </c>
      <c r="H116" s="187">
        <f t="shared" si="33"/>
        <v>-1113038.057632894</v>
      </c>
      <c r="I116" s="187">
        <f t="shared" si="34"/>
        <v>-1158489178.7865808</v>
      </c>
      <c r="J116" s="219">
        <f t="shared" si="35"/>
        <v>-24328272754.518192</v>
      </c>
    </row>
    <row r="117" spans="2:10" ht="15">
      <c r="B117" s="124" t="str">
        <f t="shared" si="28"/>
        <v>CIH Goal</v>
      </c>
      <c r="C117" s="188">
        <f t="shared" si="26"/>
        <v>169</v>
      </c>
      <c r="D117" s="217">
        <f t="shared" si="29"/>
        <v>-24328272754.518192</v>
      </c>
      <c r="E117" s="187">
        <f t="shared" si="30"/>
        <v>-1146429.1993618808</v>
      </c>
      <c r="F117" s="187">
        <f t="shared" si="31"/>
        <v>-1216470959.1858778</v>
      </c>
      <c r="G117" s="187">
        <f t="shared" si="32"/>
        <v>-25545890142.903435</v>
      </c>
      <c r="H117" s="187">
        <f t="shared" si="33"/>
        <v>-1146429.1993618808</v>
      </c>
      <c r="I117" s="187">
        <f t="shared" si="34"/>
        <v>-1277351828.60514</v>
      </c>
      <c r="J117" s="219">
        <f t="shared" si="35"/>
        <v>-26824388400.70794</v>
      </c>
    </row>
    <row r="118" spans="2:10" ht="15">
      <c r="B118" s="124" t="str">
        <f t="shared" si="28"/>
        <v>CIH Goal</v>
      </c>
      <c r="C118" s="188">
        <f t="shared" si="26"/>
        <v>170</v>
      </c>
      <c r="D118" s="217">
        <f t="shared" si="29"/>
        <v>-26824388400.70794</v>
      </c>
      <c r="E118" s="187">
        <f t="shared" si="30"/>
        <v>-1180822.0753427371</v>
      </c>
      <c r="F118" s="187">
        <f t="shared" si="31"/>
        <v>-1341278461.1391642</v>
      </c>
      <c r="G118" s="187">
        <f t="shared" si="32"/>
        <v>-28166847683.922447</v>
      </c>
      <c r="H118" s="187">
        <f t="shared" si="33"/>
        <v>-1180822.0753427371</v>
      </c>
      <c r="I118" s="187">
        <f t="shared" si="34"/>
        <v>-1408401425.2998896</v>
      </c>
      <c r="J118" s="219">
        <f t="shared" si="35"/>
        <v>-29576429931.29768</v>
      </c>
    </row>
    <row r="119" spans="2:10" ht="15">
      <c r="B119" s="124" t="str">
        <f t="shared" si="28"/>
        <v>CIH Goal</v>
      </c>
      <c r="C119" s="188">
        <f t="shared" si="26"/>
        <v>171</v>
      </c>
      <c r="D119" s="217">
        <f t="shared" si="29"/>
        <v>-29576429931.29768</v>
      </c>
      <c r="E119" s="187">
        <f t="shared" si="30"/>
        <v>-1216246.7376030192</v>
      </c>
      <c r="F119" s="187">
        <f t="shared" si="31"/>
        <v>-1478882308.9017642</v>
      </c>
      <c r="G119" s="187">
        <f t="shared" si="32"/>
        <v>-31056528486.937046</v>
      </c>
      <c r="H119" s="187">
        <f t="shared" si="33"/>
        <v>-1216246.7376030192</v>
      </c>
      <c r="I119" s="187">
        <f t="shared" si="34"/>
        <v>-1552887236.6837325</v>
      </c>
      <c r="J119" s="219">
        <f t="shared" si="35"/>
        <v>-32610631970.35838</v>
      </c>
    </row>
    <row r="120" spans="2:10" ht="15">
      <c r="B120" s="124" t="str">
        <f aca="true" t="shared" si="36" ref="B120:B144">IF(J120&lt;0,"CIH Goal","")</f>
        <v>CIH Goal</v>
      </c>
      <c r="C120" s="188">
        <f t="shared" si="26"/>
        <v>172</v>
      </c>
      <c r="D120" s="217">
        <f aca="true" t="shared" si="37" ref="D120:D144">J119</f>
        <v>-32610631970.35838</v>
      </c>
      <c r="E120" s="187">
        <f aca="true" t="shared" si="38" ref="E120:E125">E119*(1+$B$7)</f>
        <v>-1252734.1397311098</v>
      </c>
      <c r="F120" s="187">
        <f aca="true" t="shared" si="39" ref="F120:F144">(D120+E120)*$B$8</f>
        <v>-1630594235.2249057</v>
      </c>
      <c r="G120" s="187">
        <f aca="true" t="shared" si="40" ref="G120:G144">D120+E120+F120</f>
        <v>-34242478939.72302</v>
      </c>
      <c r="H120" s="187">
        <f aca="true" t="shared" si="41" ref="H120:H125">H119*(1+$B$7)</f>
        <v>-1252734.1397311098</v>
      </c>
      <c r="I120" s="187">
        <f aca="true" t="shared" si="42" ref="I120:I144">(G120+H120)*$B$8</f>
        <v>-1712186583.6931376</v>
      </c>
      <c r="J120" s="219">
        <f aca="true" t="shared" si="43" ref="J120:J144">G120+H120+I120</f>
        <v>-35955918257.555885</v>
      </c>
    </row>
    <row r="121" spans="2:10" ht="15">
      <c r="B121" s="124" t="str">
        <f t="shared" si="36"/>
        <v>CIH Goal</v>
      </c>
      <c r="C121" s="188">
        <f t="shared" si="26"/>
        <v>173</v>
      </c>
      <c r="D121" s="217">
        <f t="shared" si="37"/>
        <v>-35955918257.555885</v>
      </c>
      <c r="E121" s="187">
        <f t="shared" si="38"/>
        <v>-1290316.163923043</v>
      </c>
      <c r="F121" s="187">
        <f t="shared" si="39"/>
        <v>-1797860428.6859906</v>
      </c>
      <c r="G121" s="187">
        <f t="shared" si="40"/>
        <v>-37755069002.4058</v>
      </c>
      <c r="H121" s="187">
        <f t="shared" si="41"/>
        <v>-1290316.163923043</v>
      </c>
      <c r="I121" s="187">
        <f t="shared" si="42"/>
        <v>-1887817965.9284863</v>
      </c>
      <c r="J121" s="219">
        <f t="shared" si="43"/>
        <v>-39644177284.498215</v>
      </c>
    </row>
    <row r="122" spans="2:10" ht="15">
      <c r="B122" s="124" t="str">
        <f t="shared" si="36"/>
        <v>CIH Goal</v>
      </c>
      <c r="C122" s="188">
        <f t="shared" si="26"/>
        <v>174</v>
      </c>
      <c r="D122" s="217">
        <f t="shared" si="37"/>
        <v>-39644177284.498215</v>
      </c>
      <c r="E122" s="187">
        <f t="shared" si="38"/>
        <v>-1329025.6488407343</v>
      </c>
      <c r="F122" s="187">
        <f t="shared" si="39"/>
        <v>-1982275315.5073528</v>
      </c>
      <c r="G122" s="187">
        <f t="shared" si="40"/>
        <v>-41627781625.65441</v>
      </c>
      <c r="H122" s="187">
        <f t="shared" si="41"/>
        <v>-1329025.6488407343</v>
      </c>
      <c r="I122" s="187">
        <f t="shared" si="42"/>
        <v>-2081455532.5651627</v>
      </c>
      <c r="J122" s="219">
        <f t="shared" si="43"/>
        <v>-43710566183.868416</v>
      </c>
    </row>
    <row r="123" spans="2:10" ht="15">
      <c r="B123" s="124" t="str">
        <f t="shared" si="36"/>
        <v>CIH Goal</v>
      </c>
      <c r="C123" s="188">
        <f t="shared" si="26"/>
        <v>175</v>
      </c>
      <c r="D123" s="217">
        <f t="shared" si="37"/>
        <v>-43710566183.868416</v>
      </c>
      <c r="E123" s="187">
        <f t="shared" si="38"/>
        <v>-1368896.4183059563</v>
      </c>
      <c r="F123" s="187">
        <f t="shared" si="39"/>
        <v>-2185596754.014336</v>
      </c>
      <c r="G123" s="187">
        <f t="shared" si="40"/>
        <v>-45897531834.301056</v>
      </c>
      <c r="H123" s="187">
        <f t="shared" si="41"/>
        <v>-1368896.4183059563</v>
      </c>
      <c r="I123" s="187">
        <f t="shared" si="42"/>
        <v>-2294945036.5359683</v>
      </c>
      <c r="J123" s="219">
        <f t="shared" si="43"/>
        <v>-48193845767.255325</v>
      </c>
    </row>
    <row r="124" spans="2:10" ht="15">
      <c r="B124" s="124" t="str">
        <f t="shared" si="36"/>
        <v>CIH Goal</v>
      </c>
      <c r="C124" s="188">
        <f t="shared" si="26"/>
        <v>176</v>
      </c>
      <c r="D124" s="217">
        <f t="shared" si="37"/>
        <v>-48193845767.255325</v>
      </c>
      <c r="E124" s="187">
        <f t="shared" si="38"/>
        <v>-1409963.310855135</v>
      </c>
      <c r="F124" s="187">
        <f t="shared" si="39"/>
        <v>-2409762786.528309</v>
      </c>
      <c r="G124" s="187">
        <f t="shared" si="40"/>
        <v>-50605018517.09448</v>
      </c>
      <c r="H124" s="187">
        <f t="shared" si="41"/>
        <v>-1409963.310855135</v>
      </c>
      <c r="I124" s="187">
        <f t="shared" si="42"/>
        <v>-2530321424.020267</v>
      </c>
      <c r="J124" s="219">
        <f t="shared" si="43"/>
        <v>-53136749904.4256</v>
      </c>
    </row>
    <row r="125" spans="2:10" ht="15">
      <c r="B125" s="124" t="str">
        <f t="shared" si="36"/>
        <v>CIH Goal</v>
      </c>
      <c r="C125" s="188">
        <f t="shared" si="26"/>
        <v>177</v>
      </c>
      <c r="D125" s="217">
        <f t="shared" si="37"/>
        <v>-53136749904.4256</v>
      </c>
      <c r="E125" s="187">
        <f t="shared" si="38"/>
        <v>-1452262.2101807892</v>
      </c>
      <c r="F125" s="187">
        <f t="shared" si="39"/>
        <v>-2656910108.331789</v>
      </c>
      <c r="G125" s="187">
        <f t="shared" si="40"/>
        <v>-55795112274.96757</v>
      </c>
      <c r="H125" s="187">
        <f t="shared" si="41"/>
        <v>-1452262.2101807892</v>
      </c>
      <c r="I125" s="187">
        <f t="shared" si="42"/>
        <v>-2789828226.8588877</v>
      </c>
      <c r="J125" s="219">
        <f t="shared" si="43"/>
        <v>-58586392764.03664</v>
      </c>
    </row>
    <row r="126" spans="2:10" ht="15">
      <c r="B126" s="124" t="str">
        <f t="shared" si="36"/>
        <v>CIH Goal</v>
      </c>
      <c r="C126" s="188">
        <f t="shared" si="26"/>
        <v>178</v>
      </c>
      <c r="D126" s="217">
        <f t="shared" si="37"/>
        <v>-58586392764.03664</v>
      </c>
      <c r="E126" s="187">
        <f>E125*(1+$B$7)</f>
        <v>-1495830.076486213</v>
      </c>
      <c r="F126" s="187">
        <f t="shared" si="39"/>
        <v>-2929394429.705656</v>
      </c>
      <c r="G126" s="187">
        <f t="shared" si="40"/>
        <v>-61517283023.81878</v>
      </c>
      <c r="H126" s="187">
        <f>H125*(1+$B$7)</f>
        <v>-1495830.076486213</v>
      </c>
      <c r="I126" s="187">
        <f t="shared" si="42"/>
        <v>-3075938942.694763</v>
      </c>
      <c r="J126" s="219">
        <f t="shared" si="43"/>
        <v>-64594717796.59003</v>
      </c>
    </row>
    <row r="127" spans="2:10" ht="15">
      <c r="B127" s="124" t="str">
        <f t="shared" si="36"/>
        <v>CIH Goal</v>
      </c>
      <c r="C127" s="188">
        <f t="shared" si="26"/>
        <v>179</v>
      </c>
      <c r="D127" s="217">
        <f t="shared" si="37"/>
        <v>-64594717796.59003</v>
      </c>
      <c r="E127" s="187">
        <f>E126*(1+$B$7)</f>
        <v>-1540704.9787807993</v>
      </c>
      <c r="F127" s="187">
        <f t="shared" si="39"/>
        <v>-3229812925.0784407</v>
      </c>
      <c r="G127" s="187">
        <f t="shared" si="40"/>
        <v>-67826071426.64725</v>
      </c>
      <c r="H127" s="187">
        <f>H126*(1+$B$7)</f>
        <v>-1540704.9787807993</v>
      </c>
      <c r="I127" s="187">
        <f t="shared" si="42"/>
        <v>-3391380606.5813017</v>
      </c>
      <c r="J127" s="219">
        <f t="shared" si="43"/>
        <v>-71218992738.20734</v>
      </c>
    </row>
    <row r="128" spans="2:10" ht="15">
      <c r="B128" s="124" t="str">
        <f t="shared" si="36"/>
        <v>CIH Goal</v>
      </c>
      <c r="C128" s="188">
        <f t="shared" si="26"/>
        <v>180</v>
      </c>
      <c r="D128" s="217">
        <f t="shared" si="37"/>
        <v>-71218992738.20734</v>
      </c>
      <c r="E128" s="187">
        <f>E127*(1+$B$7)</f>
        <v>-1586926.1281442232</v>
      </c>
      <c r="F128" s="187">
        <f t="shared" si="39"/>
        <v>-3561028983.216774</v>
      </c>
      <c r="G128" s="187">
        <f t="shared" si="40"/>
        <v>-74781608647.55225</v>
      </c>
      <c r="H128" s="187">
        <f>H127*(1+$B$7)</f>
        <v>-1586926.1281442232</v>
      </c>
      <c r="I128" s="187">
        <f t="shared" si="42"/>
        <v>-3739159778.6840196</v>
      </c>
      <c r="J128" s="219">
        <f t="shared" si="43"/>
        <v>-78522355352.36441</v>
      </c>
    </row>
    <row r="129" spans="2:10" ht="15">
      <c r="B129" s="124" t="str">
        <f t="shared" si="36"/>
        <v>CIH Goal</v>
      </c>
      <c r="C129" s="188">
        <f t="shared" si="26"/>
        <v>181</v>
      </c>
      <c r="D129" s="217">
        <f t="shared" si="37"/>
        <v>-78522355352.36441</v>
      </c>
      <c r="E129" s="187">
        <f>E128*(1+$B$7)</f>
        <v>-1634533.91198855</v>
      </c>
      <c r="F129" s="187">
        <f t="shared" si="39"/>
        <v>-3926199494.31382</v>
      </c>
      <c r="G129" s="187">
        <f t="shared" si="40"/>
        <v>-82450189380.59021</v>
      </c>
      <c r="H129" s="187">
        <f>H128*(1+$B$7)</f>
        <v>-1634533.91198855</v>
      </c>
      <c r="I129" s="187">
        <f t="shared" si="42"/>
        <v>-4122591195.72511</v>
      </c>
      <c r="J129" s="219">
        <f t="shared" si="43"/>
        <v>-86574415110.22731</v>
      </c>
    </row>
    <row r="130" spans="2:10" ht="15">
      <c r="B130" s="124" t="str">
        <f t="shared" si="36"/>
        <v>CIH Goal</v>
      </c>
      <c r="C130" s="188">
        <f t="shared" si="26"/>
        <v>182</v>
      </c>
      <c r="D130" s="217">
        <f t="shared" si="37"/>
        <v>-86574415110.22731</v>
      </c>
      <c r="E130" s="187">
        <f>E129*(1+$B$7)</f>
        <v>-1683569.9293482066</v>
      </c>
      <c r="F130" s="187">
        <f t="shared" si="39"/>
        <v>-4328804934.0078335</v>
      </c>
      <c r="G130" s="187">
        <f t="shared" si="40"/>
        <v>-90904903614.16449</v>
      </c>
      <c r="H130" s="187">
        <f>H129*(1+$B$7)</f>
        <v>-1683569.9293482066</v>
      </c>
      <c r="I130" s="187">
        <f t="shared" si="42"/>
        <v>-4545329359.204692</v>
      </c>
      <c r="J130" s="219">
        <f t="shared" si="43"/>
        <v>-95451916543.29854</v>
      </c>
    </row>
    <row r="131" spans="2:10" ht="15">
      <c r="B131" s="124" t="str">
        <f t="shared" si="36"/>
        <v>CIH Goal</v>
      </c>
      <c r="C131" s="188">
        <f t="shared" si="26"/>
        <v>183</v>
      </c>
      <c r="D131" s="217">
        <f t="shared" si="37"/>
        <v>-95451916543.29854</v>
      </c>
      <c r="E131" s="187">
        <f>E130*(1+$B$7)</f>
        <v>-1734077.027228653</v>
      </c>
      <c r="F131" s="187">
        <f t="shared" si="39"/>
        <v>-4772682531.016288</v>
      </c>
      <c r="G131" s="187">
        <f t="shared" si="40"/>
        <v>-100226333151.34204</v>
      </c>
      <c r="H131" s="187">
        <f>H130*(1+$B$7)</f>
        <v>-1734077.027228653</v>
      </c>
      <c r="I131" s="187">
        <f t="shared" si="42"/>
        <v>-5011403361.418464</v>
      </c>
      <c r="J131" s="219">
        <f t="shared" si="43"/>
        <v>-105239470589.78772</v>
      </c>
    </row>
    <row r="132" spans="2:10" ht="15">
      <c r="B132" s="124" t="str">
        <f t="shared" si="36"/>
        <v>CIH Goal</v>
      </c>
      <c r="C132" s="188">
        <f t="shared" si="26"/>
        <v>184</v>
      </c>
      <c r="D132" s="217">
        <f t="shared" si="37"/>
        <v>-105239470589.78772</v>
      </c>
      <c r="E132" s="187">
        <f>E131*(1+$B$7)</f>
        <v>-1786099.3380455126</v>
      </c>
      <c r="F132" s="187">
        <f t="shared" si="39"/>
        <v>-5262062834.456288</v>
      </c>
      <c r="G132" s="187">
        <f t="shared" si="40"/>
        <v>-110503319523.58205</v>
      </c>
      <c r="H132" s="187">
        <f>H131*(1+$B$7)</f>
        <v>-1786099.3380455126</v>
      </c>
      <c r="I132" s="187">
        <f t="shared" si="42"/>
        <v>-5525255281.146005</v>
      </c>
      <c r="J132" s="219">
        <f t="shared" si="43"/>
        <v>-116030360904.0661</v>
      </c>
    </row>
    <row r="133" spans="2:10" ht="15">
      <c r="B133" s="124" t="str">
        <f t="shared" si="36"/>
        <v>CIH Goal</v>
      </c>
      <c r="C133" s="188">
        <f t="shared" si="26"/>
        <v>185</v>
      </c>
      <c r="D133" s="217">
        <f t="shared" si="37"/>
        <v>-116030360904.0661</v>
      </c>
      <c r="E133" s="187">
        <f>E132*(1+$B$7)</f>
        <v>-1839682.318186878</v>
      </c>
      <c r="F133" s="187">
        <f t="shared" si="39"/>
        <v>-5801610029.319215</v>
      </c>
      <c r="G133" s="187">
        <f t="shared" si="40"/>
        <v>-121833810615.7035</v>
      </c>
      <c r="H133" s="187">
        <f>H132*(1+$B$7)</f>
        <v>-1839682.318186878</v>
      </c>
      <c r="I133" s="187">
        <f t="shared" si="42"/>
        <v>-6091782514.901085</v>
      </c>
      <c r="J133" s="219">
        <f t="shared" si="43"/>
        <v>-127927432812.92279</v>
      </c>
    </row>
    <row r="134" spans="2:10" ht="15">
      <c r="B134" s="124" t="str">
        <f t="shared" si="36"/>
        <v>CIH Goal</v>
      </c>
      <c r="C134" s="188">
        <f t="shared" si="26"/>
        <v>186</v>
      </c>
      <c r="D134" s="217">
        <f t="shared" si="37"/>
        <v>-127927432812.92279</v>
      </c>
      <c r="E134" s="187">
        <f>E133*(1+$B$7)</f>
        <v>-1894872.7877324843</v>
      </c>
      <c r="F134" s="187">
        <f t="shared" si="39"/>
        <v>-6396466384.285526</v>
      </c>
      <c r="G134" s="187">
        <f t="shared" si="40"/>
        <v>-134325794069.99605</v>
      </c>
      <c r="H134" s="187">
        <f>H133*(1+$B$7)</f>
        <v>-1894872.7877324843</v>
      </c>
      <c r="I134" s="187">
        <f t="shared" si="42"/>
        <v>-6716384447.13919</v>
      </c>
      <c r="J134" s="219">
        <f t="shared" si="43"/>
        <v>-141044073389.92297</v>
      </c>
    </row>
    <row r="135" spans="2:10" ht="15">
      <c r="B135" s="124" t="str">
        <f t="shared" si="36"/>
        <v>CIH Goal</v>
      </c>
      <c r="C135" s="188">
        <f t="shared" si="26"/>
        <v>187</v>
      </c>
      <c r="D135" s="217">
        <f t="shared" si="37"/>
        <v>-141044073389.92297</v>
      </c>
      <c r="E135" s="187">
        <f>E134*(1+$B$7)</f>
        <v>-1951718.9713644588</v>
      </c>
      <c r="F135" s="187">
        <f t="shared" si="39"/>
        <v>-7052301255.444717</v>
      </c>
      <c r="G135" s="187">
        <f t="shared" si="40"/>
        <v>-148098326364.33905</v>
      </c>
      <c r="H135" s="187">
        <f>H134*(1+$B$7)</f>
        <v>-1951718.9713644588</v>
      </c>
      <c r="I135" s="187">
        <f t="shared" si="42"/>
        <v>-7405013904.165522</v>
      </c>
      <c r="J135" s="219">
        <f t="shared" si="43"/>
        <v>-155505291987.47595</v>
      </c>
    </row>
    <row r="136" spans="2:10" ht="15">
      <c r="B136" s="124" t="str">
        <f t="shared" si="36"/>
        <v>CIH Goal</v>
      </c>
      <c r="C136" s="188">
        <f t="shared" si="26"/>
        <v>188</v>
      </c>
      <c r="D136" s="217">
        <f t="shared" si="37"/>
        <v>-155505291987.47595</v>
      </c>
      <c r="E136" s="187">
        <f>E135*(1+$B$7)</f>
        <v>-2010270.5405053927</v>
      </c>
      <c r="F136" s="187">
        <f t="shared" si="39"/>
        <v>-7775365112.900823</v>
      </c>
      <c r="G136" s="187">
        <f t="shared" si="40"/>
        <v>-163282667370.91727</v>
      </c>
      <c r="H136" s="187">
        <f>H135*(1+$B$7)</f>
        <v>-2010270.5405053927</v>
      </c>
      <c r="I136" s="187">
        <f t="shared" si="42"/>
        <v>-8164233882.072888</v>
      </c>
      <c r="J136" s="219">
        <f t="shared" si="43"/>
        <v>-171448911523.53064</v>
      </c>
    </row>
    <row r="137" spans="2:10" ht="15">
      <c r="B137" s="124" t="str">
        <f t="shared" si="36"/>
        <v>CIH Goal</v>
      </c>
      <c r="C137" s="188">
        <f t="shared" si="26"/>
        <v>189</v>
      </c>
      <c r="D137" s="217">
        <f t="shared" si="37"/>
        <v>-171448911523.53064</v>
      </c>
      <c r="E137" s="187">
        <f>E136*(1+$B$7)</f>
        <v>-2070578.6567205545</v>
      </c>
      <c r="F137" s="187">
        <f t="shared" si="39"/>
        <v>-8572549105.109367</v>
      </c>
      <c r="G137" s="187">
        <f t="shared" si="40"/>
        <v>-180023531207.29672</v>
      </c>
      <c r="H137" s="187">
        <f>H136*(1+$B$7)</f>
        <v>-2070578.6567205545</v>
      </c>
      <c r="I137" s="187">
        <f t="shared" si="42"/>
        <v>-9001280089.297672</v>
      </c>
      <c r="J137" s="219">
        <f t="shared" si="43"/>
        <v>-189026881875.2511</v>
      </c>
    </row>
    <row r="138" spans="2:10" ht="15">
      <c r="B138" s="124" t="str">
        <f t="shared" si="36"/>
        <v>CIH Goal</v>
      </c>
      <c r="C138" s="188">
        <f t="shared" si="26"/>
        <v>190</v>
      </c>
      <c r="D138" s="217">
        <f t="shared" si="37"/>
        <v>-189026881875.2511</v>
      </c>
      <c r="E138" s="187">
        <f>E137*(1+$B$7)</f>
        <v>-2132696.016422171</v>
      </c>
      <c r="F138" s="187">
        <f t="shared" si="39"/>
        <v>-9451450728.563375</v>
      </c>
      <c r="G138" s="187">
        <f t="shared" si="40"/>
        <v>-198480465299.8309</v>
      </c>
      <c r="H138" s="187">
        <f>H137*(1+$B$7)</f>
        <v>-2132696.016422171</v>
      </c>
      <c r="I138" s="187">
        <f t="shared" si="42"/>
        <v>-9924129899.792366</v>
      </c>
      <c r="J138" s="219">
        <f t="shared" si="43"/>
        <v>-208406727895.63968</v>
      </c>
    </row>
    <row r="139" spans="2:10" ht="15">
      <c r="B139" s="124" t="str">
        <f t="shared" si="36"/>
        <v>CIH Goal</v>
      </c>
      <c r="C139" s="188">
        <f t="shared" si="26"/>
        <v>191</v>
      </c>
      <c r="D139" s="217">
        <f t="shared" si="37"/>
        <v>-208406727895.63968</v>
      </c>
      <c r="E139" s="187">
        <f aca="true" t="shared" si="44" ref="E139:E150">E138*(1+$B$7)</f>
        <v>-2196676.8969148365</v>
      </c>
      <c r="F139" s="187">
        <f t="shared" si="39"/>
        <v>-10420446228.626831</v>
      </c>
      <c r="G139" s="187">
        <f t="shared" si="40"/>
        <v>-218829370801.16342</v>
      </c>
      <c r="H139" s="187">
        <f aca="true" t="shared" si="45" ref="H139:H150">H138*(1+$B$7)</f>
        <v>-2196676.8969148365</v>
      </c>
      <c r="I139" s="187">
        <f t="shared" si="42"/>
        <v>-10941578373.903017</v>
      </c>
      <c r="J139" s="219">
        <f t="shared" si="43"/>
        <v>-229773145851.96335</v>
      </c>
    </row>
    <row r="140" spans="2:10" ht="15">
      <c r="B140" s="124" t="str">
        <f t="shared" si="36"/>
        <v>CIH Goal</v>
      </c>
      <c r="C140" s="188">
        <f t="shared" si="26"/>
        <v>192</v>
      </c>
      <c r="D140" s="217">
        <f t="shared" si="37"/>
        <v>-229773145851.96335</v>
      </c>
      <c r="E140" s="187">
        <f t="shared" si="44"/>
        <v>-2262577.2038222817</v>
      </c>
      <c r="F140" s="187">
        <f t="shared" si="39"/>
        <v>-11488770421.458359</v>
      </c>
      <c r="G140" s="187">
        <f t="shared" si="40"/>
        <v>-241264178850.62555</v>
      </c>
      <c r="H140" s="187">
        <f t="shared" si="45"/>
        <v>-2262577.2038222817</v>
      </c>
      <c r="I140" s="187">
        <f t="shared" si="42"/>
        <v>-12063322071.39147</v>
      </c>
      <c r="J140" s="219">
        <f t="shared" si="43"/>
        <v>-253329763499.22086</v>
      </c>
    </row>
    <row r="141" spans="2:10" ht="15">
      <c r="B141" s="124" t="str">
        <f t="shared" si="36"/>
        <v>CIH Goal</v>
      </c>
      <c r="C141" s="188">
        <f t="shared" si="26"/>
        <v>193</v>
      </c>
      <c r="D141" s="217">
        <f t="shared" si="37"/>
        <v>-253329763499.22086</v>
      </c>
      <c r="E141" s="187">
        <f t="shared" si="44"/>
        <v>-2330454.5199369504</v>
      </c>
      <c r="F141" s="187">
        <f t="shared" si="39"/>
        <v>-12666604697.68704</v>
      </c>
      <c r="G141" s="187">
        <f t="shared" si="40"/>
        <v>-265998698651.42783</v>
      </c>
      <c r="H141" s="187">
        <f t="shared" si="45"/>
        <v>-2330454.5199369504</v>
      </c>
      <c r="I141" s="187">
        <f t="shared" si="42"/>
        <v>-13300051455.297388</v>
      </c>
      <c r="J141" s="219">
        <f t="shared" si="43"/>
        <v>-279301080561.2451</v>
      </c>
    </row>
    <row r="142" spans="2:10" ht="15">
      <c r="B142" s="124" t="str">
        <f t="shared" si="36"/>
        <v>CIH Goal</v>
      </c>
      <c r="C142" s="188">
        <f t="shared" si="26"/>
        <v>194</v>
      </c>
      <c r="D142" s="217">
        <f t="shared" si="37"/>
        <v>-279301080561.2451</v>
      </c>
      <c r="E142" s="187">
        <f t="shared" si="44"/>
        <v>-2400368.155535059</v>
      </c>
      <c r="F142" s="187">
        <f t="shared" si="39"/>
        <v>-13965174046.470032</v>
      </c>
      <c r="G142" s="187">
        <f t="shared" si="40"/>
        <v>-293268654975.87067</v>
      </c>
      <c r="H142" s="187">
        <f t="shared" si="45"/>
        <v>-2400368.155535059</v>
      </c>
      <c r="I142" s="187">
        <f t="shared" si="42"/>
        <v>-14663552767.20131</v>
      </c>
      <c r="J142" s="219">
        <f t="shared" si="43"/>
        <v>-307934608111.2275</v>
      </c>
    </row>
    <row r="143" spans="2:10" ht="15">
      <c r="B143" s="124" t="str">
        <f t="shared" si="36"/>
        <v>CIH Goal</v>
      </c>
      <c r="C143" s="188">
        <f t="shared" si="26"/>
        <v>195</v>
      </c>
      <c r="D143" s="217">
        <f t="shared" si="37"/>
        <v>-307934608111.2275</v>
      </c>
      <c r="E143" s="187">
        <f t="shared" si="44"/>
        <v>-2472379.200201111</v>
      </c>
      <c r="F143" s="187">
        <f t="shared" si="39"/>
        <v>-15396854024.521385</v>
      </c>
      <c r="G143" s="187">
        <f t="shared" si="40"/>
        <v>-323333934514.94904</v>
      </c>
      <c r="H143" s="187">
        <f t="shared" si="45"/>
        <v>-2472379.200201111</v>
      </c>
      <c r="I143" s="187">
        <f t="shared" si="42"/>
        <v>-16166820344.707462</v>
      </c>
      <c r="J143" s="219">
        <f t="shared" si="43"/>
        <v>-339503227238.8567</v>
      </c>
    </row>
    <row r="144" spans="2:10" ht="15">
      <c r="B144" s="124" t="str">
        <f t="shared" si="36"/>
        <v>CIH Goal</v>
      </c>
      <c r="C144" s="188">
        <f t="shared" si="26"/>
        <v>196</v>
      </c>
      <c r="D144" s="217">
        <f t="shared" si="37"/>
        <v>-339503227238.8567</v>
      </c>
      <c r="E144" s="187">
        <f t="shared" si="44"/>
        <v>-2546550.576207144</v>
      </c>
      <c r="F144" s="187">
        <f t="shared" si="39"/>
        <v>-16975288689.471647</v>
      </c>
      <c r="G144" s="187">
        <f t="shared" si="40"/>
        <v>-356481062478.90454</v>
      </c>
      <c r="H144" s="187">
        <f t="shared" si="45"/>
        <v>-2546550.576207144</v>
      </c>
      <c r="I144" s="187">
        <f t="shared" si="42"/>
        <v>-17824180451.47404</v>
      </c>
      <c r="J144" s="219">
        <f t="shared" si="43"/>
        <v>-374307789480.95483</v>
      </c>
    </row>
    <row r="145" spans="2:10" ht="15">
      <c r="B145" s="124" t="str">
        <f aca="true" t="shared" si="46" ref="B145:B152">IF(J145&lt;0,"CIH Goal","")</f>
        <v>CIH Goal</v>
      </c>
      <c r="C145" s="188">
        <f t="shared" si="26"/>
        <v>197</v>
      </c>
      <c r="D145" s="217">
        <f aca="true" t="shared" si="47" ref="D145:D152">J144</f>
        <v>-374307789480.95483</v>
      </c>
      <c r="E145" s="187">
        <f t="shared" si="44"/>
        <v>-2622947.0934933587</v>
      </c>
      <c r="F145" s="187">
        <f aca="true" t="shared" si="48" ref="F145:F152">(D145+E145)*$B$8</f>
        <v>-18715520621.402416</v>
      </c>
      <c r="G145" s="187">
        <f aca="true" t="shared" si="49" ref="G145:G152">D145+E145+F145</f>
        <v>-393025933049.45074</v>
      </c>
      <c r="H145" s="187">
        <f t="shared" si="45"/>
        <v>-2622947.0934933587</v>
      </c>
      <c r="I145" s="187">
        <f aca="true" t="shared" si="50" ref="I145:I152">(G145+H145)*$B$8</f>
        <v>-19651427799.827213</v>
      </c>
      <c r="J145" s="219">
        <f aca="true" t="shared" si="51" ref="J145:J152">G145+H145+I145</f>
        <v>-412679983796.37146</v>
      </c>
    </row>
    <row r="146" spans="2:10" ht="15">
      <c r="B146" s="124" t="str">
        <f t="shared" si="46"/>
        <v>CIH Goal</v>
      </c>
      <c r="C146" s="188">
        <f t="shared" si="26"/>
        <v>198</v>
      </c>
      <c r="D146" s="217">
        <f t="shared" si="47"/>
        <v>-412679983796.37146</v>
      </c>
      <c r="E146" s="187">
        <f t="shared" si="44"/>
        <v>-2701635.5062981597</v>
      </c>
      <c r="F146" s="187">
        <f t="shared" si="48"/>
        <v>-20634134271.593887</v>
      </c>
      <c r="G146" s="187">
        <f t="shared" si="49"/>
        <v>-433316819703.4716</v>
      </c>
      <c r="H146" s="187">
        <f t="shared" si="45"/>
        <v>-2701635.5062981597</v>
      </c>
      <c r="I146" s="187">
        <f t="shared" si="50"/>
        <v>-21665976066.9489</v>
      </c>
      <c r="J146" s="219">
        <f t="shared" si="51"/>
        <v>-454985497405.9268</v>
      </c>
    </row>
    <row r="147" spans="2:10" ht="15">
      <c r="B147" s="124" t="str">
        <f t="shared" si="46"/>
        <v>CIH Goal</v>
      </c>
      <c r="C147" s="188">
        <f t="shared" si="26"/>
        <v>199</v>
      </c>
      <c r="D147" s="217">
        <f t="shared" si="47"/>
        <v>-454985497405.9268</v>
      </c>
      <c r="E147" s="187">
        <f t="shared" si="44"/>
        <v>-2782684.5714871045</v>
      </c>
      <c r="F147" s="187">
        <f t="shared" si="48"/>
        <v>-22749414004.524918</v>
      </c>
      <c r="G147" s="187">
        <f t="shared" si="49"/>
        <v>-477737694095.0232</v>
      </c>
      <c r="H147" s="187">
        <f t="shared" si="45"/>
        <v>-2782684.5714871045</v>
      </c>
      <c r="I147" s="187">
        <f t="shared" si="50"/>
        <v>-23887023838.979736</v>
      </c>
      <c r="J147" s="219">
        <f t="shared" si="51"/>
        <v>-501627500618.5744</v>
      </c>
    </row>
    <row r="148" spans="2:10" ht="15">
      <c r="B148" s="124" t="str">
        <f t="shared" si="46"/>
        <v>CIH Goal</v>
      </c>
      <c r="C148" s="188">
        <f t="shared" si="26"/>
        <v>200</v>
      </c>
      <c r="D148" s="217">
        <f t="shared" si="47"/>
        <v>-501627500618.5744</v>
      </c>
      <c r="E148" s="187">
        <f t="shared" si="44"/>
        <v>-2866165.1086317175</v>
      </c>
      <c r="F148" s="187">
        <f t="shared" si="48"/>
        <v>-25081518339.184155</v>
      </c>
      <c r="G148" s="187">
        <f t="shared" si="49"/>
        <v>-526711885122.8672</v>
      </c>
      <c r="H148" s="187">
        <f t="shared" si="45"/>
        <v>-2866165.1086317175</v>
      </c>
      <c r="I148" s="187">
        <f t="shared" si="50"/>
        <v>-26335737564.398792</v>
      </c>
      <c r="J148" s="219">
        <f t="shared" si="51"/>
        <v>-553050488852.3746</v>
      </c>
    </row>
    <row r="149" spans="2:10" ht="15">
      <c r="B149" s="124" t="str">
        <f t="shared" si="46"/>
        <v>CIH Goal</v>
      </c>
      <c r="C149" s="188">
        <f t="shared" si="26"/>
        <v>201</v>
      </c>
      <c r="D149" s="217">
        <f t="shared" si="47"/>
        <v>-553050488852.3746</v>
      </c>
      <c r="E149" s="187">
        <f t="shared" si="44"/>
        <v>-2952150.061890669</v>
      </c>
      <c r="F149" s="187">
        <f t="shared" si="48"/>
        <v>-27652672050.121826</v>
      </c>
      <c r="G149" s="187">
        <f t="shared" si="49"/>
        <v>-580706113052.5583</v>
      </c>
      <c r="H149" s="187">
        <f t="shared" si="45"/>
        <v>-2952150.061890669</v>
      </c>
      <c r="I149" s="187">
        <f t="shared" si="50"/>
        <v>-29035453260.131012</v>
      </c>
      <c r="J149" s="219">
        <f t="shared" si="51"/>
        <v>-609744518462.7512</v>
      </c>
    </row>
    <row r="150" spans="2:10" ht="15">
      <c r="B150" s="124" t="str">
        <f t="shared" si="46"/>
        <v>CIH Goal</v>
      </c>
      <c r="C150" s="188">
        <f t="shared" si="26"/>
        <v>202</v>
      </c>
      <c r="D150" s="217">
        <f t="shared" si="47"/>
        <v>-609744518462.7512</v>
      </c>
      <c r="E150" s="187">
        <f t="shared" si="44"/>
        <v>-3040714.5637473892</v>
      </c>
      <c r="F150" s="187">
        <f t="shared" si="48"/>
        <v>-30487377958.86575</v>
      </c>
      <c r="G150" s="187">
        <f t="shared" si="49"/>
        <v>-640234937136.1807</v>
      </c>
      <c r="H150" s="187">
        <f t="shared" si="45"/>
        <v>-3040714.5637473892</v>
      </c>
      <c r="I150" s="187">
        <f t="shared" si="50"/>
        <v>-32011898892.53722</v>
      </c>
      <c r="J150" s="219">
        <f t="shared" si="51"/>
        <v>-672249876743.2816</v>
      </c>
    </row>
    <row r="151" spans="2:10" ht="15">
      <c r="B151" s="124" t="str">
        <f t="shared" si="46"/>
        <v>CIH Goal</v>
      </c>
      <c r="C151" s="188">
        <f t="shared" si="26"/>
        <v>203</v>
      </c>
      <c r="D151" s="217">
        <f t="shared" si="47"/>
        <v>-672249876743.2816</v>
      </c>
      <c r="E151" s="187">
        <f>E150*(1+$B$7)</f>
        <v>-3131936.000659811</v>
      </c>
      <c r="F151" s="187">
        <f t="shared" si="48"/>
        <v>-33612650433.96411</v>
      </c>
      <c r="G151" s="187">
        <f t="shared" si="49"/>
        <v>-705865659113.2463</v>
      </c>
      <c r="H151" s="187">
        <f>H150*(1+$B$7)</f>
        <v>-3131936.000659811</v>
      </c>
      <c r="I151" s="187">
        <f t="shared" si="50"/>
        <v>-35293439552.46235</v>
      </c>
      <c r="J151" s="219">
        <f t="shared" si="51"/>
        <v>-741162230601.7094</v>
      </c>
    </row>
    <row r="152" spans="2:10" ht="15">
      <c r="B152" s="124" t="str">
        <f t="shared" si="46"/>
        <v>CIH Goal</v>
      </c>
      <c r="C152" s="188">
        <f t="shared" si="26"/>
        <v>204</v>
      </c>
      <c r="D152" s="217">
        <f t="shared" si="47"/>
        <v>-741162230601.7094</v>
      </c>
      <c r="E152" s="187">
        <f>E151*(1+$B$7)</f>
        <v>-3225894.0806796052</v>
      </c>
      <c r="F152" s="187">
        <f t="shared" si="48"/>
        <v>-37058272824.789505</v>
      </c>
      <c r="G152" s="187">
        <f t="shared" si="49"/>
        <v>-778223729320.5796</v>
      </c>
      <c r="H152" s="187">
        <f>H151*(1+$B$7)</f>
        <v>-3225894.0806796052</v>
      </c>
      <c r="I152" s="187">
        <f t="shared" si="50"/>
        <v>-38911347760.73302</v>
      </c>
      <c r="J152" s="219">
        <f t="shared" si="51"/>
        <v>-817138302975.3933</v>
      </c>
    </row>
    <row r="153" spans="2:10" ht="15">
      <c r="B153" s="124" t="str">
        <f aca="true" t="shared" si="52" ref="B153:B160">IF(J153&lt;0,"CIH Goal","")</f>
        <v>CIH Goal</v>
      </c>
      <c r="C153" s="188">
        <f t="shared" si="26"/>
        <v>205</v>
      </c>
      <c r="D153" s="217">
        <f aca="true" t="shared" si="53" ref="D153:D160">J152</f>
        <v>-817138302975.3933</v>
      </c>
      <c r="E153" s="187">
        <f aca="true" t="shared" si="54" ref="E153:E158">E152*(1+$B$7)</f>
        <v>-3322670.9030999937</v>
      </c>
      <c r="F153" s="187">
        <f aca="true" t="shared" si="55" ref="F153:F160">(D153+E153)*$B$8</f>
        <v>-40857081282.31482</v>
      </c>
      <c r="G153" s="187">
        <f aca="true" t="shared" si="56" ref="G153:G160">D153+E153+F153</f>
        <v>-857998706928.6112</v>
      </c>
      <c r="H153" s="187">
        <f aca="true" t="shared" si="57" ref="H153:H158">H152*(1+$B$7)</f>
        <v>-3322670.9030999937</v>
      </c>
      <c r="I153" s="187">
        <f aca="true" t="shared" si="58" ref="I153:I160">(G153+H153)*$B$8</f>
        <v>-42900101479.975716</v>
      </c>
      <c r="J153" s="219">
        <f aca="true" t="shared" si="59" ref="J153:J160">G153+H153+I153</f>
        <v>-900902131079.49</v>
      </c>
    </row>
    <row r="154" spans="2:10" ht="15">
      <c r="B154" s="124" t="str">
        <f t="shared" si="52"/>
        <v>CIH Goal</v>
      </c>
      <c r="C154" s="188">
        <f t="shared" si="26"/>
        <v>206</v>
      </c>
      <c r="D154" s="217">
        <f t="shared" si="53"/>
        <v>-900902131079.49</v>
      </c>
      <c r="E154" s="187">
        <f t="shared" si="54"/>
        <v>-3422351.0301929936</v>
      </c>
      <c r="F154" s="187">
        <f t="shared" si="55"/>
        <v>-45045277671.52601</v>
      </c>
      <c r="G154" s="187">
        <f t="shared" si="56"/>
        <v>-945950831102.0461</v>
      </c>
      <c r="H154" s="187">
        <f t="shared" si="57"/>
        <v>-3422351.0301929936</v>
      </c>
      <c r="I154" s="187">
        <f t="shared" si="58"/>
        <v>-47297712672.65382</v>
      </c>
      <c r="J154" s="219">
        <f t="shared" si="59"/>
        <v>-993251966125.7301</v>
      </c>
    </row>
    <row r="155" spans="2:10" ht="15">
      <c r="B155" s="124" t="str">
        <f t="shared" si="52"/>
        <v>CIH Goal</v>
      </c>
      <c r="C155" s="188">
        <f t="shared" si="26"/>
        <v>207</v>
      </c>
      <c r="D155" s="217">
        <f t="shared" si="53"/>
        <v>-993251966125.7301</v>
      </c>
      <c r="E155" s="187">
        <f t="shared" si="54"/>
        <v>-3525021.5610987833</v>
      </c>
      <c r="F155" s="187">
        <f t="shared" si="55"/>
        <v>-49662774557.36456</v>
      </c>
      <c r="G155" s="187">
        <f t="shared" si="56"/>
        <v>-1042918265704.6558</v>
      </c>
      <c r="H155" s="187">
        <f t="shared" si="57"/>
        <v>-3525021.5610987833</v>
      </c>
      <c r="I155" s="187">
        <f t="shared" si="58"/>
        <v>-52146089536.31085</v>
      </c>
      <c r="J155" s="219">
        <f t="shared" si="59"/>
        <v>-1095067880262.5278</v>
      </c>
    </row>
    <row r="156" spans="2:10" ht="15">
      <c r="B156" s="124" t="str">
        <f t="shared" si="52"/>
        <v>CIH Goal</v>
      </c>
      <c r="C156" s="188">
        <f t="shared" si="26"/>
        <v>208</v>
      </c>
      <c r="D156" s="217">
        <f t="shared" si="53"/>
        <v>-1095067880262.5278</v>
      </c>
      <c r="E156" s="187">
        <f t="shared" si="54"/>
        <v>-3630772.2079317467</v>
      </c>
      <c r="F156" s="187">
        <f t="shared" si="55"/>
        <v>-54753575551.736786</v>
      </c>
      <c r="G156" s="187">
        <f t="shared" si="56"/>
        <v>-1149825086586.4724</v>
      </c>
      <c r="H156" s="187">
        <f t="shared" si="57"/>
        <v>-3630772.2079317467</v>
      </c>
      <c r="I156" s="187">
        <f t="shared" si="58"/>
        <v>-57491435867.93402</v>
      </c>
      <c r="J156" s="219">
        <f t="shared" si="59"/>
        <v>-1207320153226.6145</v>
      </c>
    </row>
    <row r="157" spans="2:10" ht="15">
      <c r="B157" s="124" t="str">
        <f t="shared" si="52"/>
        <v>CIH Goal</v>
      </c>
      <c r="C157" s="188">
        <f t="shared" si="26"/>
        <v>209</v>
      </c>
      <c r="D157" s="217">
        <f t="shared" si="53"/>
        <v>-1207320153226.6145</v>
      </c>
      <c r="E157" s="187">
        <f t="shared" si="54"/>
        <v>-3739695.3741696994</v>
      </c>
      <c r="F157" s="187">
        <f t="shared" si="55"/>
        <v>-60366194646.09944</v>
      </c>
      <c r="G157" s="187">
        <f t="shared" si="56"/>
        <v>-1267690087568.0881</v>
      </c>
      <c r="H157" s="187">
        <f t="shared" si="57"/>
        <v>-3739695.3741696994</v>
      </c>
      <c r="I157" s="187">
        <f t="shared" si="58"/>
        <v>-63384691363.17313</v>
      </c>
      <c r="J157" s="219">
        <f t="shared" si="59"/>
        <v>-1331078518626.6355</v>
      </c>
    </row>
    <row r="158" spans="2:10" ht="15">
      <c r="B158" s="124" t="str">
        <f t="shared" si="52"/>
        <v>CIH Goal</v>
      </c>
      <c r="C158" s="188">
        <f t="shared" si="26"/>
        <v>210</v>
      </c>
      <c r="D158" s="217">
        <f t="shared" si="53"/>
        <v>-1331078518626.6355</v>
      </c>
      <c r="E158" s="187">
        <f t="shared" si="54"/>
        <v>-3851886.2353947903</v>
      </c>
      <c r="F158" s="187">
        <f t="shared" si="55"/>
        <v>-66554118525.64355</v>
      </c>
      <c r="G158" s="187">
        <f t="shared" si="56"/>
        <v>-1397636489038.5144</v>
      </c>
      <c r="H158" s="187">
        <f t="shared" si="57"/>
        <v>-3851886.2353947903</v>
      </c>
      <c r="I158" s="187">
        <f t="shared" si="58"/>
        <v>-69882017046.23749</v>
      </c>
      <c r="J158" s="219">
        <f t="shared" si="59"/>
        <v>-1467522357970.9873</v>
      </c>
    </row>
    <row r="159" spans="2:10" ht="15">
      <c r="B159" s="124" t="str">
        <f t="shared" si="52"/>
        <v>CIH Goal</v>
      </c>
      <c r="C159" s="188">
        <f t="shared" si="26"/>
        <v>211</v>
      </c>
      <c r="D159" s="217">
        <f t="shared" si="53"/>
        <v>-1467522357970.9873</v>
      </c>
      <c r="E159" s="187">
        <f>E158*(1+$B$7)</f>
        <v>-3967442.822456634</v>
      </c>
      <c r="F159" s="187">
        <f t="shared" si="55"/>
        <v>-73376316270.69049</v>
      </c>
      <c r="G159" s="187">
        <f t="shared" si="56"/>
        <v>-1540902641684.5002</v>
      </c>
      <c r="H159" s="187">
        <f>H158*(1+$B$7)</f>
        <v>-3967442.822456634</v>
      </c>
      <c r="I159" s="187">
        <f t="shared" si="58"/>
        <v>-77045330456.36613</v>
      </c>
      <c r="J159" s="219">
        <f t="shared" si="59"/>
        <v>-1617951939583.689</v>
      </c>
    </row>
    <row r="160" spans="2:10" ht="15">
      <c r="B160" s="124" t="str">
        <f t="shared" si="52"/>
        <v>CIH Goal</v>
      </c>
      <c r="C160" s="188">
        <f t="shared" si="26"/>
        <v>212</v>
      </c>
      <c r="D160" s="217">
        <f t="shared" si="53"/>
        <v>-1617951939583.689</v>
      </c>
      <c r="E160" s="187">
        <f>E159*(1+$B$7)</f>
        <v>-4086466.1071303333</v>
      </c>
      <c r="F160" s="187">
        <f t="shared" si="55"/>
        <v>-80897801302.4898</v>
      </c>
      <c r="G160" s="187">
        <f t="shared" si="56"/>
        <v>-1698853827352.286</v>
      </c>
      <c r="H160" s="187">
        <f>H159*(1+$B$7)</f>
        <v>-4086466.1071303333</v>
      </c>
      <c r="I160" s="187">
        <f t="shared" si="58"/>
        <v>-84942895690.91966</v>
      </c>
      <c r="J160" s="219">
        <f t="shared" si="59"/>
        <v>-1783800809509.3127</v>
      </c>
    </row>
    <row r="161" spans="2:10" ht="15">
      <c r="B161" s="124" t="str">
        <f aca="true" t="shared" si="60" ref="B161:B168">IF(J161&lt;0,"CIH Goal","")</f>
        <v>CIH Goal</v>
      </c>
      <c r="C161" s="188">
        <f t="shared" si="26"/>
        <v>213</v>
      </c>
      <c r="D161" s="217">
        <f aca="true" t="shared" si="61" ref="D161:D168">J160</f>
        <v>-1783800809509.3127</v>
      </c>
      <c r="E161" s="187">
        <f aca="true" t="shared" si="62" ref="E161:E166">E160*(1+$B$7)</f>
        <v>-4209060.090344244</v>
      </c>
      <c r="F161" s="187">
        <f aca="true" t="shared" si="63" ref="F161:F168">(D161+E161)*$B$8</f>
        <v>-89190250928.47015</v>
      </c>
      <c r="G161" s="187">
        <f aca="true" t="shared" si="64" ref="G161:G168">D161+E161+F161</f>
        <v>-1872995269497.8733</v>
      </c>
      <c r="H161" s="187">
        <f aca="true" t="shared" si="65" ref="H161:H166">H160*(1+$B$7)</f>
        <v>-4209060.090344244</v>
      </c>
      <c r="I161" s="187">
        <f aca="true" t="shared" si="66" ref="I161:I168">(G161+H161)*$B$8</f>
        <v>-93649973927.8982</v>
      </c>
      <c r="J161" s="219">
        <f aca="true" t="shared" si="67" ref="J161:J168">G161+H161+I161</f>
        <v>-1966649452485.8618</v>
      </c>
    </row>
    <row r="162" spans="2:10" ht="15">
      <c r="B162" s="124" t="str">
        <f t="shared" si="60"/>
        <v>CIH Goal</v>
      </c>
      <c r="C162" s="188">
        <f t="shared" si="26"/>
        <v>214</v>
      </c>
      <c r="D162" s="217">
        <f t="shared" si="61"/>
        <v>-1966649452485.8618</v>
      </c>
      <c r="E162" s="187">
        <f t="shared" si="62"/>
        <v>-4335331.893054571</v>
      </c>
      <c r="F162" s="187">
        <f t="shared" si="63"/>
        <v>-98332689390.88776</v>
      </c>
      <c r="G162" s="187">
        <f t="shared" si="64"/>
        <v>-2064986477208.6426</v>
      </c>
      <c r="H162" s="187">
        <f t="shared" si="65"/>
        <v>-4335331.893054571</v>
      </c>
      <c r="I162" s="187">
        <f t="shared" si="66"/>
        <v>-103249540627.0268</v>
      </c>
      <c r="J162" s="219">
        <f t="shared" si="67"/>
        <v>-2168240353167.5625</v>
      </c>
    </row>
    <row r="163" spans="2:10" ht="15">
      <c r="B163" s="124" t="str">
        <f t="shared" si="60"/>
        <v>CIH Goal</v>
      </c>
      <c r="C163" s="188">
        <f t="shared" si="26"/>
        <v>215</v>
      </c>
      <c r="D163" s="217">
        <f t="shared" si="61"/>
        <v>-2168240353167.5625</v>
      </c>
      <c r="E163" s="187">
        <f t="shared" si="62"/>
        <v>-4465391.8498462085</v>
      </c>
      <c r="F163" s="187">
        <f t="shared" si="63"/>
        <v>-108412240927.97063</v>
      </c>
      <c r="G163" s="187">
        <f t="shared" si="64"/>
        <v>-2276657059487.383</v>
      </c>
      <c r="H163" s="187">
        <f t="shared" si="65"/>
        <v>-4465391.8498462085</v>
      </c>
      <c r="I163" s="187">
        <f t="shared" si="66"/>
        <v>-113833076243.96162</v>
      </c>
      <c r="J163" s="219">
        <f t="shared" si="67"/>
        <v>-2390494601123.194</v>
      </c>
    </row>
    <row r="164" spans="2:10" ht="15">
      <c r="B164" s="124" t="str">
        <f t="shared" si="60"/>
        <v>CIH Goal</v>
      </c>
      <c r="C164" s="188">
        <f t="shared" si="26"/>
        <v>216</v>
      </c>
      <c r="D164" s="217">
        <f t="shared" si="61"/>
        <v>-2390494601123.194</v>
      </c>
      <c r="E164" s="187">
        <f t="shared" si="62"/>
        <v>-4599353.605341595</v>
      </c>
      <c r="F164" s="187">
        <f t="shared" si="63"/>
        <v>-119524960023.83997</v>
      </c>
      <c r="G164" s="187">
        <f t="shared" si="64"/>
        <v>-2510024160500.639</v>
      </c>
      <c r="H164" s="187">
        <f t="shared" si="65"/>
        <v>-4599353.605341595</v>
      </c>
      <c r="I164" s="187">
        <f t="shared" si="66"/>
        <v>-125501437992.71223</v>
      </c>
      <c r="J164" s="219">
        <f t="shared" si="67"/>
        <v>-2635530197846.957</v>
      </c>
    </row>
    <row r="165" spans="2:10" ht="15">
      <c r="B165" s="124" t="str">
        <f t="shared" si="60"/>
        <v>CIH Goal</v>
      </c>
      <c r="C165" s="188">
        <f t="shared" si="26"/>
        <v>217</v>
      </c>
      <c r="D165" s="217">
        <f t="shared" si="61"/>
        <v>-2635530197846.957</v>
      </c>
      <c r="E165" s="187">
        <f t="shared" si="62"/>
        <v>-4737334.213501843</v>
      </c>
      <c r="F165" s="187">
        <f t="shared" si="63"/>
        <v>-131776746759.05853</v>
      </c>
      <c r="G165" s="187">
        <f t="shared" si="64"/>
        <v>-2767311681940.229</v>
      </c>
      <c r="H165" s="187">
        <f t="shared" si="65"/>
        <v>-4737334.213501843</v>
      </c>
      <c r="I165" s="187">
        <f t="shared" si="66"/>
        <v>-138365820963.72214</v>
      </c>
      <c r="J165" s="219">
        <f t="shared" si="67"/>
        <v>-2905682240238.1646</v>
      </c>
    </row>
    <row r="166" spans="2:10" ht="15">
      <c r="B166" s="124" t="str">
        <f t="shared" si="60"/>
        <v>CIH Goal</v>
      </c>
      <c r="C166" s="188">
        <f t="shared" si="26"/>
        <v>218</v>
      </c>
      <c r="D166" s="217">
        <f t="shared" si="61"/>
        <v>-2905682240238.1646</v>
      </c>
      <c r="E166" s="187">
        <f t="shared" si="62"/>
        <v>-4879454.239906898</v>
      </c>
      <c r="F166" s="187">
        <f t="shared" si="63"/>
        <v>-145284355984.6202</v>
      </c>
      <c r="G166" s="187">
        <f t="shared" si="64"/>
        <v>-3050971475677.0244</v>
      </c>
      <c r="H166" s="187">
        <f t="shared" si="65"/>
        <v>-4879454.239906898</v>
      </c>
      <c r="I166" s="187">
        <f t="shared" si="66"/>
        <v>-152548817756.5632</v>
      </c>
      <c r="J166" s="219">
        <f t="shared" si="67"/>
        <v>-3203525172887.827</v>
      </c>
    </row>
    <row r="167" spans="2:10" ht="15">
      <c r="B167" s="124" t="str">
        <f t="shared" si="60"/>
        <v>CIH Goal</v>
      </c>
      <c r="C167" s="188">
        <f t="shared" si="26"/>
        <v>219</v>
      </c>
      <c r="D167" s="217">
        <f t="shared" si="61"/>
        <v>-3203525172887.827</v>
      </c>
      <c r="E167" s="187">
        <f>E166*(1+$B$7)</f>
        <v>-5025837.867104105</v>
      </c>
      <c r="F167" s="187">
        <f t="shared" si="63"/>
        <v>-160176509936.28473</v>
      </c>
      <c r="G167" s="187">
        <f t="shared" si="64"/>
        <v>-3363706708661.979</v>
      </c>
      <c r="H167" s="187">
        <f>H166*(1+$B$7)</f>
        <v>-5025837.867104105</v>
      </c>
      <c r="I167" s="187">
        <f t="shared" si="66"/>
        <v>-168185586724.9923</v>
      </c>
      <c r="J167" s="219">
        <f t="shared" si="67"/>
        <v>-3531897321224.8384</v>
      </c>
    </row>
    <row r="168" spans="2:10" ht="15">
      <c r="B168" s="124" t="str">
        <f t="shared" si="60"/>
        <v>CIH Goal</v>
      </c>
      <c r="C168" s="188">
        <f t="shared" si="26"/>
        <v>220</v>
      </c>
      <c r="D168" s="217">
        <f t="shared" si="61"/>
        <v>-3531897321224.8384</v>
      </c>
      <c r="E168" s="187">
        <f>E167*(1+$B$7)</f>
        <v>-5176613.003117228</v>
      </c>
      <c r="F168" s="187">
        <f t="shared" si="63"/>
        <v>-176595124891.8921</v>
      </c>
      <c r="G168" s="187">
        <f t="shared" si="64"/>
        <v>-3708497622729.7334</v>
      </c>
      <c r="H168" s="187">
        <f>H167*(1+$B$7)</f>
        <v>-5176613.003117228</v>
      </c>
      <c r="I168" s="187">
        <f t="shared" si="66"/>
        <v>-185425139967.13684</v>
      </c>
      <c r="J168" s="219">
        <f t="shared" si="67"/>
        <v>-3893927939309.873</v>
      </c>
    </row>
  </sheetData>
  <sheetProtection/>
  <mergeCells count="4">
    <mergeCell ref="A1:B1"/>
    <mergeCell ref="A6:B6"/>
    <mergeCell ref="D3:E3"/>
    <mergeCell ref="D6:E6"/>
  </mergeCells>
  <conditionalFormatting sqref="C13">
    <cfRule type="expression" priority="2" dxfId="0" stopIfTrue="1">
      <formula>J13&lt;0</formula>
    </cfRule>
  </conditionalFormatting>
  <conditionalFormatting sqref="C14:C168">
    <cfRule type="expression" priority="1" dxfId="0" stopIfTrue="1">
      <formula>J14&lt;0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7.57421875" style="0" bestFit="1" customWidth="1"/>
    <col min="2" max="2" width="74.421875" style="0" bestFit="1" customWidth="1"/>
  </cols>
  <sheetData>
    <row r="1" spans="1:2" ht="15.75">
      <c r="A1" s="176">
        <v>0.131</v>
      </c>
      <c r="B1" s="3" t="s">
        <v>106</v>
      </c>
    </row>
    <row r="3" spans="1:2" ht="15.75">
      <c r="A3" s="5">
        <f>Questions!B13</f>
        <v>0.03</v>
      </c>
      <c r="B3" s="3" t="s">
        <v>78</v>
      </c>
    </row>
    <row r="4" spans="1:2" ht="15.75">
      <c r="A4" s="5">
        <f>Questions!B11+Questions!B12</f>
        <v>0.09</v>
      </c>
      <c r="B4" s="3" t="s">
        <v>77</v>
      </c>
    </row>
    <row r="5" spans="1:2" ht="15.75">
      <c r="A5" s="7">
        <f>Questions!B9/5*100</f>
        <v>20</v>
      </c>
      <c r="B5" s="3" t="s">
        <v>6</v>
      </c>
    </row>
    <row r="6" spans="1:2" ht="15.75">
      <c r="A6" s="8">
        <f>Questions!B6-Questions!B5</f>
        <v>30</v>
      </c>
      <c r="B6" s="3" t="s">
        <v>89</v>
      </c>
    </row>
    <row r="7" spans="1:2" ht="15.75">
      <c r="A7" s="118">
        <f>'ROR-1'!$D$7</f>
        <v>0.12443225684321058</v>
      </c>
      <c r="B7" s="14" t="s">
        <v>12</v>
      </c>
    </row>
    <row r="8" spans="1:2" ht="15.75">
      <c r="A8" s="116">
        <f>VLOOKUP(A6,DATABASE,4,FALSE)</f>
        <v>71363.12355948307</v>
      </c>
      <c r="B8" s="14" t="s">
        <v>67</v>
      </c>
    </row>
    <row r="9" spans="1:2" ht="15.75">
      <c r="A9" s="117">
        <f>Questions!$B$11</f>
        <v>0.09</v>
      </c>
      <c r="B9" s="14" t="s">
        <v>68</v>
      </c>
    </row>
    <row r="10" spans="1:2" ht="15.75">
      <c r="A10" s="116">
        <f>A8/12*A9</f>
        <v>535.2234266961229</v>
      </c>
      <c r="B10" s="14" t="s">
        <v>66</v>
      </c>
    </row>
    <row r="11" spans="1:2" ht="15.75">
      <c r="A11" s="116">
        <f>VLOOKUP(A6,DATABASE,2,FALSE)</f>
        <v>106045.44777042214</v>
      </c>
      <c r="B11" s="14" t="s">
        <v>76</v>
      </c>
    </row>
    <row r="12" spans="1:2" ht="15.75">
      <c r="A12" s="116">
        <f>VLOOKUP(A6,DATABASE,5,FALSE)</f>
        <v>2120908.9554084428</v>
      </c>
      <c r="B12" s="14" t="s">
        <v>69</v>
      </c>
    </row>
    <row r="13" spans="1:2" ht="15.75">
      <c r="A13" s="8">
        <f>VLOOKUP("CIH Goal",Calculations!A2:B79,2,FALSE)</f>
        <v>31</v>
      </c>
      <c r="B13" s="14" t="s">
        <v>70</v>
      </c>
    </row>
    <row r="14" spans="1:2" ht="15.75">
      <c r="A14" s="8">
        <f>Questions!$B$5+'Ranges and Data'!A13-1</f>
        <v>65</v>
      </c>
      <c r="B14" s="14" t="s">
        <v>71</v>
      </c>
    </row>
    <row r="15" spans="1:2" ht="15.75">
      <c r="A15" s="119">
        <f>IF(ISERROR(VLOOKUP("AAR Goal",Calculations!C2:D79,2,FALSE)),"110+",VLOOKUP("AAR Goal",Calculations!C2:D79,2,FALSE))</f>
        <v>57</v>
      </c>
      <c r="B15" s="14" t="s">
        <v>74</v>
      </c>
    </row>
    <row r="16" spans="1:2" ht="15.75">
      <c r="A16" s="119">
        <f>IF(ISERROR(Questions!$B$5+'Ranges and Data'!A15-1),"110+",Questions!$B$5+'Ranges and Data'!A15-1)</f>
        <v>91</v>
      </c>
      <c r="B16" s="14" t="s">
        <v>75</v>
      </c>
    </row>
    <row r="17" spans="1:2" ht="15.75">
      <c r="A17" s="119">
        <v>85</v>
      </c>
      <c r="B17" s="14" t="s">
        <v>82</v>
      </c>
    </row>
    <row r="18" spans="1:2" ht="15.75">
      <c r="A18" s="119">
        <f>A17-Questions!$B$6</f>
        <v>20</v>
      </c>
      <c r="B18" s="14" t="s">
        <v>83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I3" sqref="I3"/>
    </sheetView>
  </sheetViews>
  <sheetFormatPr defaultColWidth="9.140625" defaultRowHeight="12.75"/>
  <cols>
    <col min="1" max="1" width="9.00390625" style="120" customWidth="1"/>
    <col min="2" max="2" width="6.00390625" style="126" bestFit="1" customWidth="1"/>
    <col min="3" max="3" width="10.140625" style="122" customWidth="1"/>
    <col min="4" max="4" width="6.00390625" style="127" bestFit="1" customWidth="1"/>
    <col min="5" max="5" width="10.00390625" style="1" bestFit="1" customWidth="1"/>
    <col min="6" max="6" width="8.421875" style="6" bestFit="1" customWidth="1"/>
    <col min="7" max="7" width="10.00390625" style="6" bestFit="1" customWidth="1"/>
    <col min="8" max="8" width="12.57421875" style="6" bestFit="1" customWidth="1"/>
    <col min="9" max="9" width="9.00390625" style="6" bestFit="1" customWidth="1"/>
    <col min="10" max="10" width="13.7109375" style="6" bestFit="1" customWidth="1"/>
    <col min="11" max="11" width="12.8515625" style="6" bestFit="1" customWidth="1"/>
    <col min="12" max="12" width="8.7109375" style="6" customWidth="1"/>
    <col min="13" max="13" width="13.7109375" style="6" bestFit="1" customWidth="1"/>
    <col min="14" max="14" width="14.421875" style="6" bestFit="1" customWidth="1"/>
    <col min="15" max="15" width="16.28125" style="6" bestFit="1" customWidth="1"/>
    <col min="16" max="16" width="15.28125" style="6" bestFit="1" customWidth="1"/>
    <col min="17" max="17" width="8.57421875" style="6" bestFit="1" customWidth="1"/>
    <col min="18" max="18" width="16.28125" style="6" bestFit="1" customWidth="1"/>
    <col min="19" max="19" width="17.00390625" style="6" bestFit="1" customWidth="1"/>
    <col min="20" max="16384" width="9.140625" style="2" customWidth="1"/>
  </cols>
  <sheetData>
    <row r="1" spans="10:19" ht="13.5" thickBot="1">
      <c r="J1" s="201" t="s">
        <v>85</v>
      </c>
      <c r="K1" s="202"/>
      <c r="L1" s="202"/>
      <c r="M1" s="202"/>
      <c r="N1" s="203"/>
      <c r="O1" s="204" t="s">
        <v>86</v>
      </c>
      <c r="P1" s="205"/>
      <c r="Q1" s="205"/>
      <c r="R1" s="205"/>
      <c r="S1" s="206"/>
    </row>
    <row r="2" spans="1:19" s="130" customFormat="1" ht="38.25">
      <c r="A2" s="128" t="s">
        <v>72</v>
      </c>
      <c r="B2" s="125" t="s">
        <v>1</v>
      </c>
      <c r="C2" s="128" t="s">
        <v>73</v>
      </c>
      <c r="D2" s="129" t="s">
        <v>1</v>
      </c>
      <c r="E2" s="123" t="s">
        <v>4</v>
      </c>
      <c r="F2" s="129" t="s">
        <v>3</v>
      </c>
      <c r="G2" s="129" t="s">
        <v>13</v>
      </c>
      <c r="H2" s="129" t="s">
        <v>7</v>
      </c>
      <c r="I2" s="123" t="s">
        <v>8</v>
      </c>
      <c r="J2" s="134" t="s">
        <v>5</v>
      </c>
      <c r="K2" s="134" t="s">
        <v>9</v>
      </c>
      <c r="L2" s="134" t="s">
        <v>10</v>
      </c>
      <c r="M2" s="134" t="s">
        <v>11</v>
      </c>
      <c r="N2" s="135" t="s">
        <v>87</v>
      </c>
      <c r="O2" s="136" t="s">
        <v>5</v>
      </c>
      <c r="P2" s="136" t="s">
        <v>9</v>
      </c>
      <c r="Q2" s="136" t="s">
        <v>10</v>
      </c>
      <c r="R2" s="136" t="s">
        <v>11</v>
      </c>
      <c r="S2" s="137" t="s">
        <v>87</v>
      </c>
    </row>
    <row r="3" spans="1:19" s="4" customFormat="1" ht="12.75">
      <c r="A3" s="124">
        <f aca="true" t="shared" si="0" ref="A3:A34">IF(S3&lt;0,"CIH Goal","")</f>
      </c>
      <c r="B3" s="125">
        <v>1</v>
      </c>
      <c r="C3" s="124">
        <f>IF(N3&lt;0,"AAR Goal","")</f>
      </c>
      <c r="D3" s="129">
        <v>1</v>
      </c>
      <c r="E3" s="12">
        <f>Questions!$B$7</f>
        <v>45000</v>
      </c>
      <c r="F3" s="121">
        <f>Questions!$B$5</f>
        <v>35</v>
      </c>
      <c r="G3" s="13">
        <f>AVERAGE($E$3:E3)</f>
        <v>45000</v>
      </c>
      <c r="H3" s="13">
        <f>E3*'Ranges and Data'!$A$5</f>
        <v>900000</v>
      </c>
      <c r="I3" s="12">
        <f>E3*'Ranges and Data'!$A$4</f>
        <v>4050</v>
      </c>
      <c r="J3" s="10">
        <f>Questions!$B$8</f>
        <v>10000</v>
      </c>
      <c r="K3" s="10">
        <f>J3*Questions!$B$10</f>
        <v>700.0000000000001</v>
      </c>
      <c r="L3" s="10">
        <f>$I3*Questions!$B$10/2</f>
        <v>141.75</v>
      </c>
      <c r="M3" s="10">
        <f>SUM(J3:L3)+$I3</f>
        <v>14891.75</v>
      </c>
      <c r="N3" s="11">
        <f>$H3-M3</f>
        <v>885108.25</v>
      </c>
      <c r="O3" s="12">
        <f>Questions!$B$8</f>
        <v>10000</v>
      </c>
      <c r="P3" s="12">
        <f>O3*'Ranges and Data'!$A$1</f>
        <v>1310</v>
      </c>
      <c r="Q3" s="12">
        <f>$I3*'Ranges and Data'!$A$1/2</f>
        <v>265.27500000000003</v>
      </c>
      <c r="R3" s="12">
        <f>SUM(O3:Q3)+$I3</f>
        <v>15625.275</v>
      </c>
      <c r="S3" s="138">
        <f>$H3-R3</f>
        <v>884374.725</v>
      </c>
    </row>
    <row r="4" spans="1:19" s="4" customFormat="1" ht="12.75">
      <c r="A4" s="124">
        <f t="shared" si="0"/>
      </c>
      <c r="B4" s="125">
        <v>2</v>
      </c>
      <c r="C4" s="124">
        <f aca="true" t="shared" si="1" ref="C4:C67">IF(N4&lt;0,"AAR Goal","")</f>
      </c>
      <c r="D4" s="129">
        <v>2</v>
      </c>
      <c r="E4" s="12">
        <f>E3*(1+'Ranges and Data'!$A$3)</f>
        <v>46350</v>
      </c>
      <c r="F4" s="121">
        <f>F3+1</f>
        <v>36</v>
      </c>
      <c r="G4" s="13">
        <f>AVERAGE($E$3:E4)</f>
        <v>45675</v>
      </c>
      <c r="H4" s="13">
        <f>E4*'Ranges and Data'!$A$5</f>
        <v>927000</v>
      </c>
      <c r="I4" s="12">
        <f>E4*'Ranges and Data'!$A$4</f>
        <v>4171.5</v>
      </c>
      <c r="J4" s="10">
        <f>M3</f>
        <v>14891.75</v>
      </c>
      <c r="K4" s="10">
        <f>J4*Questions!$B$10</f>
        <v>1042.4225000000001</v>
      </c>
      <c r="L4" s="10">
        <f>$I4*Questions!$B$10/2</f>
        <v>146.00250000000003</v>
      </c>
      <c r="M4" s="10">
        <f aca="true" t="shared" si="2" ref="M4:M52">SUM(J4:L4)+$I4</f>
        <v>20251.675000000003</v>
      </c>
      <c r="N4" s="11">
        <f aca="true" t="shared" si="3" ref="N4:N80">$H4-M4</f>
        <v>906748.325</v>
      </c>
      <c r="O4" s="12">
        <f>R3</f>
        <v>15625.275</v>
      </c>
      <c r="P4" s="12">
        <f>O4*'Ranges and Data'!$A$1</f>
        <v>2046.911025</v>
      </c>
      <c r="Q4" s="12">
        <f>$I4*'Ranges and Data'!$A$1/2</f>
        <v>273.23325</v>
      </c>
      <c r="R4" s="12">
        <f aca="true" t="shared" si="4" ref="R4:R52">SUM(O4:Q4)+$I4</f>
        <v>22116.919275</v>
      </c>
      <c r="S4" s="138">
        <f aca="true" t="shared" si="5" ref="S4:S80">$H4-R4</f>
        <v>904883.080725</v>
      </c>
    </row>
    <row r="5" spans="1:19" s="4" customFormat="1" ht="12.75">
      <c r="A5" s="124">
        <f t="shared" si="0"/>
      </c>
      <c r="B5" s="125">
        <v>3</v>
      </c>
      <c r="C5" s="124">
        <f t="shared" si="1"/>
      </c>
      <c r="D5" s="129">
        <v>3</v>
      </c>
      <c r="E5" s="12">
        <f>E4*(1+'Ranges and Data'!$A$3)</f>
        <v>47740.5</v>
      </c>
      <c r="F5" s="121">
        <f aca="true" t="shared" si="6" ref="F5:F52">F4+1</f>
        <v>37</v>
      </c>
      <c r="G5" s="13">
        <f>AVERAGE($E$3:E5)</f>
        <v>46363.5</v>
      </c>
      <c r="H5" s="13">
        <f>E5*'Ranges and Data'!$A$5</f>
        <v>954810</v>
      </c>
      <c r="I5" s="12">
        <f>E5*'Ranges and Data'!$A$4</f>
        <v>4296.6449999999995</v>
      </c>
      <c r="J5" s="10">
        <f aca="true" t="shared" si="7" ref="J5:J17">M4</f>
        <v>20251.675000000003</v>
      </c>
      <c r="K5" s="10">
        <f>J5*Questions!$B$10</f>
        <v>1417.6172500000002</v>
      </c>
      <c r="L5" s="10">
        <f>$I5*Questions!$B$10/2</f>
        <v>150.382575</v>
      </c>
      <c r="M5" s="10">
        <f t="shared" si="2"/>
        <v>26116.319825000002</v>
      </c>
      <c r="N5" s="11">
        <f t="shared" si="3"/>
        <v>928693.680175</v>
      </c>
      <c r="O5" s="12">
        <f aca="true" t="shared" si="8" ref="O5:O17">R4</f>
        <v>22116.919275</v>
      </c>
      <c r="P5" s="12">
        <f>O5*'Ranges and Data'!$A$1</f>
        <v>2897.316425025</v>
      </c>
      <c r="Q5" s="12">
        <f>$I5*'Ranges and Data'!$A$1/2</f>
        <v>281.4302475</v>
      </c>
      <c r="R5" s="12">
        <f t="shared" si="4"/>
        <v>29592.310947525002</v>
      </c>
      <c r="S5" s="138">
        <f t="shared" si="5"/>
        <v>925217.689052475</v>
      </c>
    </row>
    <row r="6" spans="1:19" s="4" customFormat="1" ht="12.75">
      <c r="A6" s="124">
        <f t="shared" si="0"/>
      </c>
      <c r="B6" s="125">
        <v>4</v>
      </c>
      <c r="C6" s="124">
        <f t="shared" si="1"/>
      </c>
      <c r="D6" s="129">
        <v>4</v>
      </c>
      <c r="E6" s="12">
        <f>E5*(1+'Ranges and Data'!$A$3)</f>
        <v>49172.715000000004</v>
      </c>
      <c r="F6" s="121">
        <f t="shared" si="6"/>
        <v>38</v>
      </c>
      <c r="G6" s="13">
        <f>AVERAGE($E$3:E6)</f>
        <v>47065.80375</v>
      </c>
      <c r="H6" s="13">
        <f>E6*'Ranges and Data'!$A$5</f>
        <v>983454.3</v>
      </c>
      <c r="I6" s="12">
        <f>E6*'Ranges and Data'!$A$4</f>
        <v>4425.54435</v>
      </c>
      <c r="J6" s="10">
        <f t="shared" si="7"/>
        <v>26116.319825000002</v>
      </c>
      <c r="K6" s="10">
        <f>J6*Questions!$B$10</f>
        <v>1828.1423877500004</v>
      </c>
      <c r="L6" s="10">
        <f>$I6*Questions!$B$10/2</f>
        <v>154.89405225000002</v>
      </c>
      <c r="M6" s="10">
        <f t="shared" si="2"/>
        <v>32524.900615000006</v>
      </c>
      <c r="N6" s="11">
        <f t="shared" si="3"/>
        <v>950929.399385</v>
      </c>
      <c r="O6" s="12">
        <f t="shared" si="8"/>
        <v>29592.310947525002</v>
      </c>
      <c r="P6" s="12">
        <f>O6*'Ranges and Data'!$A$1</f>
        <v>3876.592734125775</v>
      </c>
      <c r="Q6" s="12">
        <f>$I6*'Ranges and Data'!$A$1/2</f>
        <v>289.873154925</v>
      </c>
      <c r="R6" s="12">
        <f t="shared" si="4"/>
        <v>38184.32118657578</v>
      </c>
      <c r="S6" s="138">
        <f t="shared" si="5"/>
        <v>945269.9788134242</v>
      </c>
    </row>
    <row r="7" spans="1:19" s="4" customFormat="1" ht="12.75">
      <c r="A7" s="124">
        <f t="shared" si="0"/>
      </c>
      <c r="B7" s="125">
        <v>5</v>
      </c>
      <c r="C7" s="124">
        <f t="shared" si="1"/>
      </c>
      <c r="D7" s="129">
        <v>5</v>
      </c>
      <c r="E7" s="12">
        <f>E6*(1+'Ranges and Data'!$A$3)</f>
        <v>50647.89645000001</v>
      </c>
      <c r="F7" s="121">
        <f t="shared" si="6"/>
        <v>39</v>
      </c>
      <c r="G7" s="13">
        <f>AVERAGE($E$3:E7)</f>
        <v>47782.22229</v>
      </c>
      <c r="H7" s="13">
        <f>E7*'Ranges and Data'!$A$5</f>
        <v>1012957.9290000001</v>
      </c>
      <c r="I7" s="12">
        <f>E7*'Ranges and Data'!$A$4</f>
        <v>4558.310680500001</v>
      </c>
      <c r="J7" s="10">
        <f t="shared" si="7"/>
        <v>32524.900615000006</v>
      </c>
      <c r="K7" s="10">
        <f>J7*Questions!$B$10</f>
        <v>2276.743043050001</v>
      </c>
      <c r="L7" s="10">
        <f>$I7*Questions!$B$10/2</f>
        <v>159.54087381750003</v>
      </c>
      <c r="M7" s="10">
        <f t="shared" si="2"/>
        <v>39519.49521236751</v>
      </c>
      <c r="N7" s="11">
        <f t="shared" si="3"/>
        <v>973438.4337876326</v>
      </c>
      <c r="O7" s="12">
        <f t="shared" si="8"/>
        <v>38184.32118657578</v>
      </c>
      <c r="P7" s="12">
        <f>O7*'Ranges and Data'!$A$1</f>
        <v>5002.146075441427</v>
      </c>
      <c r="Q7" s="12">
        <f>$I7*'Ranges and Data'!$A$1/2</f>
        <v>298.56934957275007</v>
      </c>
      <c r="R7" s="12">
        <f t="shared" si="4"/>
        <v>48043.34729208995</v>
      </c>
      <c r="S7" s="138">
        <f t="shared" si="5"/>
        <v>964914.5817079102</v>
      </c>
    </row>
    <row r="8" spans="1:19" s="131" customFormat="1" ht="12.75">
      <c r="A8" s="124">
        <f t="shared" si="0"/>
      </c>
      <c r="B8" s="125">
        <v>6</v>
      </c>
      <c r="C8" s="124">
        <f t="shared" si="1"/>
      </c>
      <c r="D8" s="129">
        <v>6</v>
      </c>
      <c r="E8" s="12">
        <f>E7*(1+'Ranges and Data'!$A$3)</f>
        <v>52167.33334350001</v>
      </c>
      <c r="F8" s="121">
        <f t="shared" si="6"/>
        <v>40</v>
      </c>
      <c r="G8" s="13">
        <f>AVERAGE($E$3:E8)</f>
        <v>48513.07413225</v>
      </c>
      <c r="H8" s="13">
        <f>E8*'Ranges and Data'!$A$5</f>
        <v>1043346.6668700002</v>
      </c>
      <c r="I8" s="12">
        <f>E8*'Ranges and Data'!$A$4</f>
        <v>4695.060000915</v>
      </c>
      <c r="J8" s="10">
        <f t="shared" si="7"/>
        <v>39519.49521236751</v>
      </c>
      <c r="K8" s="10">
        <f>J8*Questions!$B$10</f>
        <v>2766.364664865726</v>
      </c>
      <c r="L8" s="10">
        <f>$I8*Questions!$B$10/2</f>
        <v>164.32710003202502</v>
      </c>
      <c r="M8" s="10">
        <f t="shared" si="2"/>
        <v>47145.24697818026</v>
      </c>
      <c r="N8" s="11">
        <f t="shared" si="3"/>
        <v>996201.4198918199</v>
      </c>
      <c r="O8" s="12">
        <f t="shared" si="8"/>
        <v>48043.34729208995</v>
      </c>
      <c r="P8" s="12">
        <f>O8*'Ranges and Data'!$A$1</f>
        <v>6293.678495263784</v>
      </c>
      <c r="Q8" s="12">
        <f>$I8*'Ranges and Data'!$A$1/2</f>
        <v>307.5264300599325</v>
      </c>
      <c r="R8" s="12">
        <f t="shared" si="4"/>
        <v>59339.612218328664</v>
      </c>
      <c r="S8" s="138">
        <f t="shared" si="5"/>
        <v>984007.0546516716</v>
      </c>
    </row>
    <row r="9" spans="1:19" s="4" customFormat="1" ht="12.75">
      <c r="A9" s="124">
        <f t="shared" si="0"/>
      </c>
      <c r="B9" s="125">
        <v>7</v>
      </c>
      <c r="C9" s="124">
        <f t="shared" si="1"/>
      </c>
      <c r="D9" s="129">
        <v>7</v>
      </c>
      <c r="E9" s="12">
        <f>E8*(1+'Ranges and Data'!$A$3)</f>
        <v>53732.353343805014</v>
      </c>
      <c r="F9" s="121">
        <f t="shared" si="6"/>
        <v>41</v>
      </c>
      <c r="G9" s="13">
        <f>AVERAGE($E$3:E9)</f>
        <v>49258.68544818643</v>
      </c>
      <c r="H9" s="13">
        <f>E9*'Ranges and Data'!$A$5</f>
        <v>1074647.0668761004</v>
      </c>
      <c r="I9" s="12">
        <f>E9*'Ranges and Data'!$A$4</f>
        <v>4835.911800942451</v>
      </c>
      <c r="J9" s="10">
        <f t="shared" si="7"/>
        <v>47145.24697818026</v>
      </c>
      <c r="K9" s="10">
        <f>J9*Questions!$B$10</f>
        <v>3300.167288472618</v>
      </c>
      <c r="L9" s="10">
        <f>$I9*Questions!$B$10/2</f>
        <v>169.2569130329858</v>
      </c>
      <c r="M9" s="10">
        <f t="shared" si="2"/>
        <v>55450.582980628315</v>
      </c>
      <c r="N9" s="11">
        <f t="shared" si="3"/>
        <v>1019196.483895472</v>
      </c>
      <c r="O9" s="12">
        <f t="shared" si="8"/>
        <v>59339.612218328664</v>
      </c>
      <c r="P9" s="12">
        <f>O9*'Ranges and Data'!$A$1</f>
        <v>7773.489200601055</v>
      </c>
      <c r="Q9" s="12">
        <f>$I9*'Ranges and Data'!$A$1/2</f>
        <v>316.7522229617306</v>
      </c>
      <c r="R9" s="12">
        <f t="shared" si="4"/>
        <v>72265.7654428339</v>
      </c>
      <c r="S9" s="138">
        <f t="shared" si="5"/>
        <v>1002381.3014332665</v>
      </c>
    </row>
    <row r="10" spans="1:19" s="4" customFormat="1" ht="12.75">
      <c r="A10" s="124">
        <f t="shared" si="0"/>
      </c>
      <c r="B10" s="125">
        <v>8</v>
      </c>
      <c r="C10" s="124">
        <f t="shared" si="1"/>
      </c>
      <c r="D10" s="129">
        <v>8</v>
      </c>
      <c r="E10" s="12">
        <f>E9*(1+'Ranges and Data'!$A$3)</f>
        <v>55344.32394411917</v>
      </c>
      <c r="F10" s="121">
        <f t="shared" si="6"/>
        <v>42</v>
      </c>
      <c r="G10" s="13">
        <f>AVERAGE($E$3:E10)</f>
        <v>50019.39026017802</v>
      </c>
      <c r="H10" s="13">
        <f>E10*'Ranges and Data'!$A$5</f>
        <v>1106886.4788823833</v>
      </c>
      <c r="I10" s="12">
        <f>E10*'Ranges and Data'!$A$4</f>
        <v>4980.989154970725</v>
      </c>
      <c r="J10" s="10">
        <f t="shared" si="7"/>
        <v>55450.582980628315</v>
      </c>
      <c r="K10" s="10">
        <f>J10*Questions!$B$10</f>
        <v>3881.5408086439825</v>
      </c>
      <c r="L10" s="10">
        <f>$I10*Questions!$B$10/2</f>
        <v>174.3346204239754</v>
      </c>
      <c r="M10" s="10">
        <f t="shared" si="2"/>
        <v>64487.447564667</v>
      </c>
      <c r="N10" s="11">
        <f t="shared" si="3"/>
        <v>1042399.0313177163</v>
      </c>
      <c r="O10" s="12">
        <f t="shared" si="8"/>
        <v>72265.7654428339</v>
      </c>
      <c r="P10" s="12">
        <f>O10*'Ranges and Data'!$A$1</f>
        <v>9466.815273011242</v>
      </c>
      <c r="Q10" s="12">
        <f>$I10*'Ranges and Data'!$A$1/2</f>
        <v>326.25478965058255</v>
      </c>
      <c r="R10" s="12">
        <f t="shared" si="4"/>
        <v>87039.82466046645</v>
      </c>
      <c r="S10" s="138">
        <f t="shared" si="5"/>
        <v>1019846.6542219169</v>
      </c>
    </row>
    <row r="11" spans="1:19" s="4" customFormat="1" ht="12.75">
      <c r="A11" s="124">
        <f t="shared" si="0"/>
      </c>
      <c r="B11" s="125">
        <v>9</v>
      </c>
      <c r="C11" s="124">
        <f t="shared" si="1"/>
      </c>
      <c r="D11" s="129">
        <v>9</v>
      </c>
      <c r="E11" s="12">
        <f>E10*(1+'Ranges and Data'!$A$3)</f>
        <v>57004.653662442746</v>
      </c>
      <c r="F11" s="121">
        <f t="shared" si="6"/>
        <v>43</v>
      </c>
      <c r="G11" s="13">
        <f>AVERAGE($E$3:E11)</f>
        <v>50795.530638207434</v>
      </c>
      <c r="H11" s="13">
        <f>E11*'Ranges and Data'!$A$5</f>
        <v>1140093.0732488548</v>
      </c>
      <c r="I11" s="12">
        <f>E11*'Ranges and Data'!$A$4</f>
        <v>5130.418829619847</v>
      </c>
      <c r="J11" s="10">
        <f t="shared" si="7"/>
        <v>64487.447564667</v>
      </c>
      <c r="K11" s="10">
        <f>J11*Questions!$B$10</f>
        <v>4514.121329526691</v>
      </c>
      <c r="L11" s="10">
        <f>$I11*Questions!$B$10/2</f>
        <v>179.56465903669468</v>
      </c>
      <c r="M11" s="10">
        <f t="shared" si="2"/>
        <v>74311.55238285023</v>
      </c>
      <c r="N11" s="11">
        <f t="shared" si="3"/>
        <v>1065781.5208660045</v>
      </c>
      <c r="O11" s="12">
        <f t="shared" si="8"/>
        <v>87039.82466046645</v>
      </c>
      <c r="P11" s="12">
        <f>O11*'Ranges and Data'!$A$1</f>
        <v>11402.217030521106</v>
      </c>
      <c r="Q11" s="12">
        <f>$I11*'Ranges and Data'!$A$1/2</f>
        <v>336.0424333401</v>
      </c>
      <c r="R11" s="12">
        <f t="shared" si="4"/>
        <v>103908.50295394749</v>
      </c>
      <c r="S11" s="138">
        <f t="shared" si="5"/>
        <v>1036184.5702949073</v>
      </c>
    </row>
    <row r="12" spans="1:19" s="4" customFormat="1" ht="12.75">
      <c r="A12" s="124">
        <f t="shared" si="0"/>
      </c>
      <c r="B12" s="125">
        <v>10</v>
      </c>
      <c r="C12" s="124">
        <f t="shared" si="1"/>
      </c>
      <c r="D12" s="129">
        <v>10</v>
      </c>
      <c r="E12" s="12">
        <f>E11*(1+'Ranges and Data'!$A$3)</f>
        <v>58714.79327231603</v>
      </c>
      <c r="F12" s="121">
        <f t="shared" si="6"/>
        <v>44</v>
      </c>
      <c r="G12" s="13">
        <f>AVERAGE($E$3:E12)</f>
        <v>51587.456901618294</v>
      </c>
      <c r="H12" s="13">
        <f>E12*'Ranges and Data'!$A$5</f>
        <v>1174295.8654463205</v>
      </c>
      <c r="I12" s="12">
        <f>E12*'Ranges and Data'!$A$4</f>
        <v>5284.331394508442</v>
      </c>
      <c r="J12" s="10">
        <f t="shared" si="7"/>
        <v>74311.55238285023</v>
      </c>
      <c r="K12" s="10">
        <f>J12*Questions!$B$10</f>
        <v>5201.808666799517</v>
      </c>
      <c r="L12" s="10">
        <f>$I12*Questions!$B$10/2</f>
        <v>184.95159880779548</v>
      </c>
      <c r="M12" s="10">
        <f t="shared" si="2"/>
        <v>84982.64404296599</v>
      </c>
      <c r="N12" s="11">
        <f t="shared" si="3"/>
        <v>1089313.2214033545</v>
      </c>
      <c r="O12" s="12">
        <f t="shared" si="8"/>
        <v>103908.50295394749</v>
      </c>
      <c r="P12" s="12">
        <f>O12*'Ranges and Data'!$A$1</f>
        <v>13612.013886967123</v>
      </c>
      <c r="Q12" s="12">
        <f>$I12*'Ranges and Data'!$A$1/2</f>
        <v>346.123706340303</v>
      </c>
      <c r="R12" s="12">
        <f t="shared" si="4"/>
        <v>123150.97194176336</v>
      </c>
      <c r="S12" s="138">
        <f t="shared" si="5"/>
        <v>1051144.8935045572</v>
      </c>
    </row>
    <row r="13" spans="1:19" s="4" customFormat="1" ht="12.75">
      <c r="A13" s="124">
        <f t="shared" si="0"/>
      </c>
      <c r="B13" s="125">
        <v>11</v>
      </c>
      <c r="C13" s="124">
        <f t="shared" si="1"/>
      </c>
      <c r="D13" s="129">
        <v>11</v>
      </c>
      <c r="E13" s="12">
        <f>E12*(1+'Ranges and Data'!$A$3)</f>
        <v>60476.237070485506</v>
      </c>
      <c r="F13" s="121">
        <f t="shared" si="6"/>
        <v>45</v>
      </c>
      <c r="G13" s="13">
        <f>AVERAGE($E$3:E13)</f>
        <v>52395.527826060774</v>
      </c>
      <c r="H13" s="13">
        <f>E13*'Ranges and Data'!$A$5</f>
        <v>1209524.7414097101</v>
      </c>
      <c r="I13" s="12">
        <f>E13*'Ranges and Data'!$A$4</f>
        <v>5442.861336343695</v>
      </c>
      <c r="J13" s="10">
        <f t="shared" si="7"/>
        <v>84982.64404296599</v>
      </c>
      <c r="K13" s="10">
        <f>J13*Questions!$B$10</f>
        <v>5948.7850830076195</v>
      </c>
      <c r="L13" s="10">
        <f>$I13*Questions!$B$10/2</f>
        <v>190.50014677202935</v>
      </c>
      <c r="M13" s="10">
        <f t="shared" si="2"/>
        <v>96564.79060908932</v>
      </c>
      <c r="N13" s="11">
        <f t="shared" si="3"/>
        <v>1112959.9508006207</v>
      </c>
      <c r="O13" s="12">
        <f t="shared" si="8"/>
        <v>123150.97194176336</v>
      </c>
      <c r="P13" s="12">
        <f>O13*'Ranges and Data'!$A$1</f>
        <v>16132.777324371002</v>
      </c>
      <c r="Q13" s="12">
        <f>$I13*'Ranges and Data'!$A$1/2</f>
        <v>356.50741753051204</v>
      </c>
      <c r="R13" s="12">
        <f t="shared" si="4"/>
        <v>145083.11802000858</v>
      </c>
      <c r="S13" s="138">
        <f t="shared" si="5"/>
        <v>1064441.6233897016</v>
      </c>
    </row>
    <row r="14" spans="1:19" s="4" customFormat="1" ht="12.75">
      <c r="A14" s="124">
        <f t="shared" si="0"/>
      </c>
      <c r="B14" s="125">
        <v>12</v>
      </c>
      <c r="C14" s="124">
        <f t="shared" si="1"/>
      </c>
      <c r="D14" s="129">
        <v>12</v>
      </c>
      <c r="E14" s="12">
        <f>E13*(1+'Ranges and Data'!$A$3)</f>
        <v>62290.52418260007</v>
      </c>
      <c r="F14" s="121">
        <f t="shared" si="6"/>
        <v>46</v>
      </c>
      <c r="G14" s="13">
        <f>AVERAGE($E$3:E14)</f>
        <v>53220.110855772386</v>
      </c>
      <c r="H14" s="13">
        <f>E14*'Ranges and Data'!$A$5</f>
        <v>1245810.4836520015</v>
      </c>
      <c r="I14" s="12">
        <f>E14*'Ranges and Data'!$A$4</f>
        <v>5606.147176434006</v>
      </c>
      <c r="J14" s="10">
        <f t="shared" si="7"/>
        <v>96564.79060908932</v>
      </c>
      <c r="K14" s="10">
        <f>J14*Questions!$B$10</f>
        <v>6759.5353426362535</v>
      </c>
      <c r="L14" s="10">
        <f>$I14*Questions!$B$10/2</f>
        <v>196.21515117519021</v>
      </c>
      <c r="M14" s="10">
        <f t="shared" si="2"/>
        <v>109126.68827933478</v>
      </c>
      <c r="N14" s="11">
        <f t="shared" si="3"/>
        <v>1136683.7953726668</v>
      </c>
      <c r="O14" s="12">
        <f t="shared" si="8"/>
        <v>145083.11802000858</v>
      </c>
      <c r="P14" s="12">
        <f>O14*'Ranges and Data'!$A$1</f>
        <v>19005.888460621125</v>
      </c>
      <c r="Q14" s="12">
        <f>$I14*'Ranges and Data'!$A$1/2</f>
        <v>367.2026400564274</v>
      </c>
      <c r="R14" s="12">
        <f t="shared" si="4"/>
        <v>170062.35629712013</v>
      </c>
      <c r="S14" s="138">
        <f t="shared" si="5"/>
        <v>1075748.1273548813</v>
      </c>
    </row>
    <row r="15" spans="1:19" s="4" customFormat="1" ht="12.75">
      <c r="A15" s="124">
        <f t="shared" si="0"/>
      </c>
      <c r="B15" s="125">
        <v>13</v>
      </c>
      <c r="C15" s="124">
        <f t="shared" si="1"/>
      </c>
      <c r="D15" s="129">
        <v>13</v>
      </c>
      <c r="E15" s="12">
        <f>E14*(1+'Ranges and Data'!$A$3)</f>
        <v>64159.239908078074</v>
      </c>
      <c r="F15" s="121">
        <f t="shared" si="6"/>
        <v>47</v>
      </c>
      <c r="G15" s="13">
        <f>AVERAGE($E$3:E15)</f>
        <v>54061.58232133436</v>
      </c>
      <c r="H15" s="13">
        <f>E15*'Ranges and Data'!$A$5</f>
        <v>1283184.7981615616</v>
      </c>
      <c r="I15" s="12">
        <f>E15*'Ranges and Data'!$A$4</f>
        <v>5774.3315917270265</v>
      </c>
      <c r="J15" s="10">
        <f t="shared" si="7"/>
        <v>109126.68827933478</v>
      </c>
      <c r="K15" s="10">
        <f>J15*Questions!$B$10</f>
        <v>7638.868179553435</v>
      </c>
      <c r="L15" s="10">
        <f>$I15*Questions!$B$10/2</f>
        <v>202.10160571044594</v>
      </c>
      <c r="M15" s="10">
        <f t="shared" si="2"/>
        <v>122741.98965632568</v>
      </c>
      <c r="N15" s="11">
        <f t="shared" si="3"/>
        <v>1160442.808505236</v>
      </c>
      <c r="O15" s="12">
        <f t="shared" si="8"/>
        <v>170062.35629712013</v>
      </c>
      <c r="P15" s="12">
        <f>O15*'Ranges and Data'!$A$1</f>
        <v>22278.168674922737</v>
      </c>
      <c r="Q15" s="12">
        <f>$I15*'Ranges and Data'!$A$1/2</f>
        <v>378.21871925812025</v>
      </c>
      <c r="R15" s="12">
        <f t="shared" si="4"/>
        <v>198493.07528302804</v>
      </c>
      <c r="S15" s="138">
        <f t="shared" si="5"/>
        <v>1084691.7228785336</v>
      </c>
    </row>
    <row r="16" spans="1:19" s="4" customFormat="1" ht="12.75">
      <c r="A16" s="124">
        <f t="shared" si="0"/>
      </c>
      <c r="B16" s="125">
        <v>14</v>
      </c>
      <c r="C16" s="124">
        <f t="shared" si="1"/>
      </c>
      <c r="D16" s="129">
        <v>14</v>
      </c>
      <c r="E16" s="12">
        <f>E15*(1+'Ranges and Data'!$A$3)</f>
        <v>66084.01710532042</v>
      </c>
      <c r="F16" s="121">
        <f t="shared" si="6"/>
        <v>48</v>
      </c>
      <c r="G16" s="13">
        <f>AVERAGE($E$3:E16)</f>
        <v>54920.327663047654</v>
      </c>
      <c r="H16" s="13">
        <f>E16*'Ranges and Data'!$A$5</f>
        <v>1321680.3421064084</v>
      </c>
      <c r="I16" s="12">
        <f>E16*'Ranges and Data'!$A$4</f>
        <v>5947.561539478838</v>
      </c>
      <c r="J16" s="10">
        <f t="shared" si="7"/>
        <v>122741.98965632568</v>
      </c>
      <c r="K16" s="10">
        <f>J16*Questions!$B$10</f>
        <v>8591.939275942797</v>
      </c>
      <c r="L16" s="10">
        <f>$I16*Questions!$B$10/2</f>
        <v>208.16465388175936</v>
      </c>
      <c r="M16" s="10">
        <f t="shared" si="2"/>
        <v>137489.65512562907</v>
      </c>
      <c r="N16" s="11">
        <f t="shared" si="3"/>
        <v>1184190.6869807793</v>
      </c>
      <c r="O16" s="12">
        <f t="shared" si="8"/>
        <v>198493.07528302804</v>
      </c>
      <c r="P16" s="12">
        <f>O16*'Ranges and Data'!$A$1</f>
        <v>26002.592862076675</v>
      </c>
      <c r="Q16" s="12">
        <f>$I16*'Ranges and Data'!$A$1/2</f>
        <v>389.5652808358639</v>
      </c>
      <c r="R16" s="12">
        <f t="shared" si="4"/>
        <v>230832.79496541942</v>
      </c>
      <c r="S16" s="138">
        <f t="shared" si="5"/>
        <v>1090847.547140989</v>
      </c>
    </row>
    <row r="17" spans="1:19" s="4" customFormat="1" ht="12.75">
      <c r="A17" s="124">
        <f t="shared" si="0"/>
      </c>
      <c r="B17" s="125">
        <v>15</v>
      </c>
      <c r="C17" s="124">
        <f t="shared" si="1"/>
      </c>
      <c r="D17" s="129">
        <v>15</v>
      </c>
      <c r="E17" s="12">
        <f>E16*(1+'Ranges and Data'!$A$3)</f>
        <v>68066.53761848004</v>
      </c>
      <c r="F17" s="121">
        <f t="shared" si="6"/>
        <v>49</v>
      </c>
      <c r="G17" s="13">
        <f>AVERAGE($E$3:E17)</f>
        <v>55796.74166007648</v>
      </c>
      <c r="H17" s="13">
        <f>E17*'Ranges and Data'!$A$5</f>
        <v>1361330.7523696008</v>
      </c>
      <c r="I17" s="12">
        <f>E17*'Ranges and Data'!$A$4</f>
        <v>6125.988385663203</v>
      </c>
      <c r="J17" s="10">
        <f t="shared" si="7"/>
        <v>137489.65512562907</v>
      </c>
      <c r="K17" s="10">
        <f>J17*Questions!$B$10</f>
        <v>9624.275858794035</v>
      </c>
      <c r="L17" s="10">
        <f>$I17*Questions!$B$10/2</f>
        <v>214.40959349821213</v>
      </c>
      <c r="M17" s="10">
        <f t="shared" si="2"/>
        <v>153454.32896358453</v>
      </c>
      <c r="N17" s="11">
        <f t="shared" si="3"/>
        <v>1207876.4234060163</v>
      </c>
      <c r="O17" s="12">
        <f t="shared" si="8"/>
        <v>230832.79496541942</v>
      </c>
      <c r="P17" s="12">
        <f>O17*'Ranges and Data'!$A$1</f>
        <v>30239.096140469945</v>
      </c>
      <c r="Q17" s="12">
        <f>$I17*'Ranges and Data'!$A$1/2</f>
        <v>401.2522392609398</v>
      </c>
      <c r="R17" s="12">
        <f t="shared" si="4"/>
        <v>267599.13173081353</v>
      </c>
      <c r="S17" s="138">
        <f t="shared" si="5"/>
        <v>1093731.6206387873</v>
      </c>
    </row>
    <row r="18" spans="1:19" s="4" customFormat="1" ht="12.75">
      <c r="A18" s="124">
        <f t="shared" si="0"/>
      </c>
      <c r="B18" s="125">
        <v>16</v>
      </c>
      <c r="C18" s="124">
        <f t="shared" si="1"/>
      </c>
      <c r="D18" s="129">
        <v>16</v>
      </c>
      <c r="E18" s="12">
        <f>E17*(1+'Ranges and Data'!$A$3)</f>
        <v>70108.53374703444</v>
      </c>
      <c r="F18" s="121">
        <f t="shared" si="6"/>
        <v>50</v>
      </c>
      <c r="G18" s="13">
        <f>AVERAGE($E$3:E18)</f>
        <v>56691.22866551136</v>
      </c>
      <c r="H18" s="13">
        <f>E18*'Ranges and Data'!$A$5</f>
        <v>1402170.6749406888</v>
      </c>
      <c r="I18" s="12">
        <f>E18*'Ranges and Data'!$A$4</f>
        <v>6309.7680372331</v>
      </c>
      <c r="J18" s="10">
        <f>M17</f>
        <v>153454.32896358453</v>
      </c>
      <c r="K18" s="10">
        <f>J18*Questions!$B$10</f>
        <v>10741.803027450918</v>
      </c>
      <c r="L18" s="10">
        <f>$I18*Questions!$B$10/2</f>
        <v>220.84188130315852</v>
      </c>
      <c r="M18" s="10">
        <f t="shared" si="2"/>
        <v>170726.7419095717</v>
      </c>
      <c r="N18" s="11">
        <f t="shared" si="3"/>
        <v>1231443.933031117</v>
      </c>
      <c r="O18" s="12">
        <f>R17</f>
        <v>267599.13173081353</v>
      </c>
      <c r="P18" s="12">
        <f>O18*'Ranges and Data'!$A$1</f>
        <v>35055.48625673657</v>
      </c>
      <c r="Q18" s="12">
        <f>$I18*'Ranges and Data'!$A$1/2</f>
        <v>413.28980643876804</v>
      </c>
      <c r="R18" s="12">
        <f t="shared" si="4"/>
        <v>309377.675831222</v>
      </c>
      <c r="S18" s="138">
        <f t="shared" si="5"/>
        <v>1092792.9991094668</v>
      </c>
    </row>
    <row r="19" spans="1:19" s="4" customFormat="1" ht="12.75">
      <c r="A19" s="124">
        <f t="shared" si="0"/>
      </c>
      <c r="B19" s="125">
        <v>17</v>
      </c>
      <c r="C19" s="124">
        <f t="shared" si="1"/>
      </c>
      <c r="D19" s="129">
        <v>17</v>
      </c>
      <c r="E19" s="12">
        <f>E18*(1+'Ranges and Data'!$A$3)</f>
        <v>72211.78975944547</v>
      </c>
      <c r="F19" s="121">
        <f t="shared" si="6"/>
        <v>51</v>
      </c>
      <c r="G19" s="13">
        <f>AVERAGE($E$3:E19)</f>
        <v>57604.202847507484</v>
      </c>
      <c r="H19" s="13">
        <f>E19*'Ranges and Data'!$A$5</f>
        <v>1444235.7951889094</v>
      </c>
      <c r="I19" s="12">
        <f>E19*'Ranges and Data'!$A$4</f>
        <v>6499.061078350092</v>
      </c>
      <c r="J19" s="10">
        <f aca="true" t="shared" si="9" ref="J19:J31">M18</f>
        <v>170726.7419095717</v>
      </c>
      <c r="K19" s="10">
        <f>J19*Questions!$B$10</f>
        <v>11950.87193367002</v>
      </c>
      <c r="L19" s="10">
        <f>$I19*Questions!$B$10/2</f>
        <v>227.46713774225324</v>
      </c>
      <c r="M19" s="10">
        <f t="shared" si="2"/>
        <v>189404.14205933406</v>
      </c>
      <c r="N19" s="11">
        <f t="shared" si="3"/>
        <v>1254831.6531295753</v>
      </c>
      <c r="O19" s="12">
        <f aca="true" t="shared" si="10" ref="O19:O31">R18</f>
        <v>309377.675831222</v>
      </c>
      <c r="P19" s="12">
        <f>O19*'Ranges and Data'!$A$1</f>
        <v>40528.47553389008</v>
      </c>
      <c r="Q19" s="12">
        <f>$I19*'Ranges and Data'!$A$1/2</f>
        <v>425.68850063193105</v>
      </c>
      <c r="R19" s="12">
        <f t="shared" si="4"/>
        <v>356830.9009440941</v>
      </c>
      <c r="S19" s="138">
        <f t="shared" si="5"/>
        <v>1087404.8942448152</v>
      </c>
    </row>
    <row r="20" spans="1:19" s="4" customFormat="1" ht="12.75">
      <c r="A20" s="124">
        <f t="shared" si="0"/>
      </c>
      <c r="B20" s="125">
        <v>18</v>
      </c>
      <c r="C20" s="124">
        <f t="shared" si="1"/>
      </c>
      <c r="D20" s="129">
        <v>18</v>
      </c>
      <c r="E20" s="12">
        <f>E19*(1+'Ranges and Data'!$A$3)</f>
        <v>74378.14345222883</v>
      </c>
      <c r="F20" s="121">
        <f t="shared" si="6"/>
        <v>52</v>
      </c>
      <c r="G20" s="13">
        <f>AVERAGE($E$3:E20)</f>
        <v>58536.08843665866</v>
      </c>
      <c r="H20" s="13">
        <f>E20*'Ranges and Data'!$A$5</f>
        <v>1487562.8690445768</v>
      </c>
      <c r="I20" s="12">
        <f>E20*'Ranges and Data'!$A$4</f>
        <v>6694.032910700595</v>
      </c>
      <c r="J20" s="10">
        <f t="shared" si="9"/>
        <v>189404.14205933406</v>
      </c>
      <c r="K20" s="10">
        <f>J20*Questions!$B$10</f>
        <v>13258.289944153385</v>
      </c>
      <c r="L20" s="10">
        <f>$I20*Questions!$B$10/2</f>
        <v>234.29115187452084</v>
      </c>
      <c r="M20" s="10">
        <f t="shared" si="2"/>
        <v>209590.75606606257</v>
      </c>
      <c r="N20" s="11">
        <f t="shared" si="3"/>
        <v>1277972.1129785143</v>
      </c>
      <c r="O20" s="12">
        <f t="shared" si="10"/>
        <v>356830.9009440941</v>
      </c>
      <c r="P20" s="12">
        <f>O20*'Ranges and Data'!$A$1</f>
        <v>46744.84802367633</v>
      </c>
      <c r="Q20" s="12">
        <f>$I20*'Ranges and Data'!$A$1/2</f>
        <v>438.459155650889</v>
      </c>
      <c r="R20" s="12">
        <f t="shared" si="4"/>
        <v>410708.2410341219</v>
      </c>
      <c r="S20" s="138">
        <f t="shared" si="5"/>
        <v>1076854.6280104548</v>
      </c>
    </row>
    <row r="21" spans="1:19" s="4" customFormat="1" ht="12.75">
      <c r="A21" s="124">
        <f t="shared" si="0"/>
      </c>
      <c r="B21" s="125">
        <v>19</v>
      </c>
      <c r="C21" s="124">
        <f t="shared" si="1"/>
      </c>
      <c r="D21" s="129">
        <v>19</v>
      </c>
      <c r="E21" s="12">
        <f>E20*(1+'Ranges and Data'!$A$3)</f>
        <v>76609.4877557957</v>
      </c>
      <c r="F21" s="121">
        <f t="shared" si="6"/>
        <v>53</v>
      </c>
      <c r="G21" s="13">
        <f>AVERAGE($E$3:E21)</f>
        <v>59487.319979771135</v>
      </c>
      <c r="H21" s="13">
        <f>E21*'Ranges and Data'!$A$5</f>
        <v>1532189.755115914</v>
      </c>
      <c r="I21" s="12">
        <f>E21*'Ranges and Data'!$A$4</f>
        <v>6894.853898021612</v>
      </c>
      <c r="J21" s="10">
        <f t="shared" si="9"/>
        <v>209590.75606606257</v>
      </c>
      <c r="K21" s="10">
        <f>J21*Questions!$B$10</f>
        <v>14671.352924624382</v>
      </c>
      <c r="L21" s="10">
        <f>$I21*Questions!$B$10/2</f>
        <v>241.31988643075644</v>
      </c>
      <c r="M21" s="10">
        <f t="shared" si="2"/>
        <v>231398.28277513932</v>
      </c>
      <c r="N21" s="11">
        <f t="shared" si="3"/>
        <v>1300791.4723407747</v>
      </c>
      <c r="O21" s="12">
        <f t="shared" si="10"/>
        <v>410708.2410341219</v>
      </c>
      <c r="P21" s="12">
        <f>O21*'Ranges and Data'!$A$1</f>
        <v>53802.77957546997</v>
      </c>
      <c r="Q21" s="12">
        <f>$I21*'Ranges and Data'!$A$1/2</f>
        <v>451.61293032041556</v>
      </c>
      <c r="R21" s="12">
        <f t="shared" si="4"/>
        <v>471857.4874379339</v>
      </c>
      <c r="S21" s="138">
        <f t="shared" si="5"/>
        <v>1060332.26767798</v>
      </c>
    </row>
    <row r="22" spans="1:19" s="4" customFormat="1" ht="12.75">
      <c r="A22" s="124">
        <f t="shared" si="0"/>
      </c>
      <c r="B22" s="125">
        <v>20</v>
      </c>
      <c r="C22" s="124">
        <f t="shared" si="1"/>
      </c>
      <c r="D22" s="129">
        <v>20</v>
      </c>
      <c r="E22" s="12">
        <f>E21*(1+'Ranges and Data'!$A$3)</f>
        <v>78907.77238846957</v>
      </c>
      <c r="F22" s="121">
        <f t="shared" si="6"/>
        <v>54</v>
      </c>
      <c r="G22" s="13">
        <f>AVERAGE($E$3:E22)</f>
        <v>60458.342600206066</v>
      </c>
      <c r="H22" s="13">
        <f>E22*'Ranges and Data'!$A$5</f>
        <v>1578155.4477693914</v>
      </c>
      <c r="I22" s="12">
        <f>E22*'Ranges and Data'!$A$4</f>
        <v>7101.699514962262</v>
      </c>
      <c r="J22" s="10">
        <f t="shared" si="9"/>
        <v>231398.28277513932</v>
      </c>
      <c r="K22" s="10">
        <f>J22*Questions!$B$10</f>
        <v>16197.879794259754</v>
      </c>
      <c r="L22" s="10">
        <f>$I22*Questions!$B$10/2</f>
        <v>248.55948302367918</v>
      </c>
      <c r="M22" s="10">
        <f t="shared" si="2"/>
        <v>254946.42156738503</v>
      </c>
      <c r="N22" s="11">
        <f t="shared" si="3"/>
        <v>1323209.0262020063</v>
      </c>
      <c r="O22" s="12">
        <f t="shared" si="10"/>
        <v>471857.4874379339</v>
      </c>
      <c r="P22" s="12">
        <f>O22*'Ranges and Data'!$A$1</f>
        <v>61813.33085436934</v>
      </c>
      <c r="Q22" s="12">
        <f>$I22*'Ranges and Data'!$A$1/2</f>
        <v>465.16131823002814</v>
      </c>
      <c r="R22" s="12">
        <f t="shared" si="4"/>
        <v>541237.6791254955</v>
      </c>
      <c r="S22" s="138">
        <f t="shared" si="5"/>
        <v>1036917.7686438959</v>
      </c>
    </row>
    <row r="23" spans="1:19" s="4" customFormat="1" ht="12.75">
      <c r="A23" s="124">
        <f t="shared" si="0"/>
      </c>
      <c r="B23" s="125">
        <v>21</v>
      </c>
      <c r="C23" s="124">
        <f t="shared" si="1"/>
      </c>
      <c r="D23" s="129">
        <v>21</v>
      </c>
      <c r="E23" s="12">
        <f>E22*(1+'Ranges and Data'!$A$3)</f>
        <v>81275.00556012367</v>
      </c>
      <c r="F23" s="121">
        <f t="shared" si="6"/>
        <v>55</v>
      </c>
      <c r="G23" s="13">
        <f>AVERAGE($E$3:E23)</f>
        <v>61449.612264964046</v>
      </c>
      <c r="H23" s="13">
        <f>E23*'Ranges and Data'!$A$5</f>
        <v>1625500.1112024733</v>
      </c>
      <c r="I23" s="12">
        <f>E23*'Ranges and Data'!$A$4</f>
        <v>7314.75050041113</v>
      </c>
      <c r="J23" s="10">
        <f t="shared" si="9"/>
        <v>254946.42156738503</v>
      </c>
      <c r="K23" s="10">
        <f>J23*Questions!$B$10</f>
        <v>17846.249509716952</v>
      </c>
      <c r="L23" s="10">
        <f>$I23*Questions!$B$10/2</f>
        <v>256.0162675143896</v>
      </c>
      <c r="M23" s="10">
        <f t="shared" si="2"/>
        <v>280363.4378450275</v>
      </c>
      <c r="N23" s="11">
        <f t="shared" si="3"/>
        <v>1345136.6733574457</v>
      </c>
      <c r="O23" s="12">
        <f t="shared" si="10"/>
        <v>541237.6791254955</v>
      </c>
      <c r="P23" s="12">
        <f>O23*'Ranges and Data'!$A$1</f>
        <v>70902.13596543991</v>
      </c>
      <c r="Q23" s="12">
        <f>$I23*'Ranges and Data'!$A$1/2</f>
        <v>479.116157776929</v>
      </c>
      <c r="R23" s="12">
        <f t="shared" si="4"/>
        <v>619933.6817491235</v>
      </c>
      <c r="S23" s="138">
        <f t="shared" si="5"/>
        <v>1005566.4294533498</v>
      </c>
    </row>
    <row r="24" spans="1:19" s="4" customFormat="1" ht="12.75">
      <c r="A24" s="124">
        <f t="shared" si="0"/>
      </c>
      <c r="B24" s="125">
        <v>22</v>
      </c>
      <c r="C24" s="124">
        <f t="shared" si="1"/>
      </c>
      <c r="D24" s="129">
        <v>22</v>
      </c>
      <c r="E24" s="12">
        <f>E23*(1+'Ranges and Data'!$A$3)</f>
        <v>83713.25572692738</v>
      </c>
      <c r="F24" s="121">
        <f t="shared" si="6"/>
        <v>56</v>
      </c>
      <c r="G24" s="13">
        <f>AVERAGE($E$3:E24)</f>
        <v>62461.59605868965</v>
      </c>
      <c r="H24" s="13">
        <f>E24*'Ranges and Data'!$A$5</f>
        <v>1674265.1145385476</v>
      </c>
      <c r="I24" s="12">
        <f>E24*'Ranges and Data'!$A$4</f>
        <v>7534.193015423464</v>
      </c>
      <c r="J24" s="10">
        <f t="shared" si="9"/>
        <v>280363.4378450275</v>
      </c>
      <c r="K24" s="10">
        <f>J24*Questions!$B$10</f>
        <v>19625.440649151926</v>
      </c>
      <c r="L24" s="10">
        <f>$I24*Questions!$B$10/2</f>
        <v>263.69675553982125</v>
      </c>
      <c r="M24" s="10">
        <f t="shared" si="2"/>
        <v>307786.7682651427</v>
      </c>
      <c r="N24" s="11">
        <f t="shared" si="3"/>
        <v>1366478.346273405</v>
      </c>
      <c r="O24" s="12">
        <f t="shared" si="10"/>
        <v>619933.6817491235</v>
      </c>
      <c r="P24" s="12">
        <f>O24*'Ranges and Data'!$A$1</f>
        <v>81211.31230913519</v>
      </c>
      <c r="Q24" s="12">
        <f>$I24*'Ranges and Data'!$A$1/2</f>
        <v>493.48964251023693</v>
      </c>
      <c r="R24" s="12">
        <f t="shared" si="4"/>
        <v>709172.6767161924</v>
      </c>
      <c r="S24" s="138">
        <f t="shared" si="5"/>
        <v>965092.4378223552</v>
      </c>
    </row>
    <row r="25" spans="1:19" s="4" customFormat="1" ht="12.75">
      <c r="A25" s="124">
        <f t="shared" si="0"/>
      </c>
      <c r="B25" s="125">
        <v>23</v>
      </c>
      <c r="C25" s="124">
        <f t="shared" si="1"/>
      </c>
      <c r="D25" s="129">
        <v>23</v>
      </c>
      <c r="E25" s="12">
        <f>E24*(1+'Ranges and Data'!$A$3)</f>
        <v>86224.6533987352</v>
      </c>
      <c r="F25" s="121">
        <f t="shared" si="6"/>
        <v>57</v>
      </c>
      <c r="G25" s="13">
        <f>AVERAGE($E$3:E25)</f>
        <v>63494.77246477859</v>
      </c>
      <c r="H25" s="13">
        <f>E25*'Ranges and Data'!$A$5</f>
        <v>1724493.067974704</v>
      </c>
      <c r="I25" s="12">
        <f>E25*'Ranges and Data'!$A$4</f>
        <v>7760.2188058861675</v>
      </c>
      <c r="J25" s="10">
        <f t="shared" si="9"/>
        <v>307786.7682651427</v>
      </c>
      <c r="K25" s="10">
        <f>J25*Questions!$B$10</f>
        <v>21545.07377855999</v>
      </c>
      <c r="L25" s="10">
        <f>$I25*Questions!$B$10/2</f>
        <v>271.6076582060159</v>
      </c>
      <c r="M25" s="10">
        <f t="shared" si="2"/>
        <v>337363.66850779485</v>
      </c>
      <c r="N25" s="11">
        <f t="shared" si="3"/>
        <v>1387129.3994669092</v>
      </c>
      <c r="O25" s="12">
        <f t="shared" si="10"/>
        <v>709172.6767161924</v>
      </c>
      <c r="P25" s="12">
        <f>O25*'Ranges and Data'!$A$1</f>
        <v>92901.62064982121</v>
      </c>
      <c r="Q25" s="12">
        <f>$I25*'Ranges and Data'!$A$1/2</f>
        <v>508.294331785544</v>
      </c>
      <c r="R25" s="12">
        <f t="shared" si="4"/>
        <v>810342.8105036854</v>
      </c>
      <c r="S25" s="138">
        <f t="shared" si="5"/>
        <v>914150.2574710187</v>
      </c>
    </row>
    <row r="26" spans="1:19" s="4" customFormat="1" ht="12.75">
      <c r="A26" s="124">
        <f t="shared" si="0"/>
      </c>
      <c r="B26" s="125">
        <v>24</v>
      </c>
      <c r="C26" s="124">
        <f t="shared" si="1"/>
      </c>
      <c r="D26" s="129">
        <v>24</v>
      </c>
      <c r="E26" s="12">
        <f>E25*(1+'Ranges and Data'!$A$3)</f>
        <v>88811.39300069727</v>
      </c>
      <c r="F26" s="121">
        <f t="shared" si="6"/>
        <v>58</v>
      </c>
      <c r="G26" s="13">
        <f>AVERAGE($E$3:E26)</f>
        <v>64549.6316537752</v>
      </c>
      <c r="H26" s="13">
        <f>E26*'Ranges and Data'!$A$5</f>
        <v>1776227.8600139453</v>
      </c>
      <c r="I26" s="12">
        <f>E26*'Ranges and Data'!$A$4</f>
        <v>7993.025370062754</v>
      </c>
      <c r="J26" s="10">
        <f t="shared" si="9"/>
        <v>337363.66850779485</v>
      </c>
      <c r="K26" s="10">
        <f>J26*Questions!$B$10</f>
        <v>23615.45679554564</v>
      </c>
      <c r="L26" s="10">
        <f>$I26*Questions!$B$10/2</f>
        <v>279.7558879521964</v>
      </c>
      <c r="M26" s="10">
        <f t="shared" si="2"/>
        <v>369251.9065613554</v>
      </c>
      <c r="N26" s="11">
        <f t="shared" si="3"/>
        <v>1406975.95345259</v>
      </c>
      <c r="O26" s="12">
        <f t="shared" si="10"/>
        <v>810342.8105036854</v>
      </c>
      <c r="P26" s="12">
        <f>O26*'Ranges and Data'!$A$1</f>
        <v>106154.90817598278</v>
      </c>
      <c r="Q26" s="12">
        <f>$I26*'Ranges and Data'!$A$1/2</f>
        <v>523.5431617391104</v>
      </c>
      <c r="R26" s="12">
        <f t="shared" si="4"/>
        <v>925014.2872114701</v>
      </c>
      <c r="S26" s="138">
        <f t="shared" si="5"/>
        <v>851213.5728024752</v>
      </c>
    </row>
    <row r="27" spans="1:19" s="4" customFormat="1" ht="12.75">
      <c r="A27" s="124">
        <f t="shared" si="0"/>
      </c>
      <c r="B27" s="125">
        <v>25</v>
      </c>
      <c r="C27" s="124">
        <f t="shared" si="1"/>
      </c>
      <c r="D27" s="129">
        <v>25</v>
      </c>
      <c r="E27" s="12">
        <f>E26*(1+'Ranges and Data'!$A$3)</f>
        <v>91475.73479071818</v>
      </c>
      <c r="F27" s="121">
        <f t="shared" si="6"/>
        <v>59</v>
      </c>
      <c r="G27" s="13">
        <f>AVERAGE($E$3:E27)</f>
        <v>65626.67577925292</v>
      </c>
      <c r="H27" s="13">
        <f>E27*'Ranges and Data'!$A$5</f>
        <v>1829514.6958143637</v>
      </c>
      <c r="I27" s="12">
        <f>E27*'Ranges and Data'!$A$4</f>
        <v>8232.816131164636</v>
      </c>
      <c r="J27" s="10">
        <f t="shared" si="9"/>
        <v>369251.9065613554</v>
      </c>
      <c r="K27" s="10">
        <f>J27*Questions!$B$10</f>
        <v>25847.63345929488</v>
      </c>
      <c r="L27" s="10">
        <f>$I27*Questions!$B$10/2</f>
        <v>288.1485645907623</v>
      </c>
      <c r="M27" s="10">
        <f t="shared" si="2"/>
        <v>403620.50471640565</v>
      </c>
      <c r="N27" s="11">
        <f t="shared" si="3"/>
        <v>1425894.191097958</v>
      </c>
      <c r="O27" s="12">
        <f t="shared" si="10"/>
        <v>925014.2872114701</v>
      </c>
      <c r="P27" s="12">
        <f>O27*'Ranges and Data'!$A$1</f>
        <v>121176.87162470259</v>
      </c>
      <c r="Q27" s="12">
        <f>$I27*'Ranges and Data'!$A$1/2</f>
        <v>539.2494565912837</v>
      </c>
      <c r="R27" s="12">
        <f t="shared" si="4"/>
        <v>1054963.2244239287</v>
      </c>
      <c r="S27" s="138">
        <f t="shared" si="5"/>
        <v>774551.471390435</v>
      </c>
    </row>
    <row r="28" spans="1:19" s="4" customFormat="1" ht="12.75">
      <c r="A28" s="124">
        <f t="shared" si="0"/>
      </c>
      <c r="B28" s="125">
        <v>26</v>
      </c>
      <c r="C28" s="124">
        <f t="shared" si="1"/>
      </c>
      <c r="D28" s="129">
        <v>26</v>
      </c>
      <c r="E28" s="12">
        <f>E27*(1+'Ranges and Data'!$A$3)</f>
        <v>94220.00683443973</v>
      </c>
      <c r="F28" s="121">
        <f t="shared" si="6"/>
        <v>60</v>
      </c>
      <c r="G28" s="13">
        <f>AVERAGE($E$3:E28)</f>
        <v>66726.41928137549</v>
      </c>
      <c r="H28" s="13">
        <f>E28*'Ranges and Data'!$A$5</f>
        <v>1884400.1366887945</v>
      </c>
      <c r="I28" s="12">
        <f>E28*'Ranges and Data'!$A$4</f>
        <v>8479.800615099575</v>
      </c>
      <c r="J28" s="10">
        <f t="shared" si="9"/>
        <v>403620.50471640565</v>
      </c>
      <c r="K28" s="10">
        <f>J28*Questions!$B$10</f>
        <v>28253.435330148397</v>
      </c>
      <c r="L28" s="10">
        <f>$I28*Questions!$B$10/2</f>
        <v>296.79302152848516</v>
      </c>
      <c r="M28" s="10">
        <f t="shared" si="2"/>
        <v>440650.53368318203</v>
      </c>
      <c r="N28" s="11">
        <f t="shared" si="3"/>
        <v>1443749.6030056125</v>
      </c>
      <c r="O28" s="12">
        <f t="shared" si="10"/>
        <v>1054963.2244239287</v>
      </c>
      <c r="P28" s="12">
        <f>O28*'Ranges and Data'!$A$1</f>
        <v>138200.18239953465</v>
      </c>
      <c r="Q28" s="12">
        <f>$I28*'Ranges and Data'!$A$1/2</f>
        <v>555.4269402890222</v>
      </c>
      <c r="R28" s="12">
        <f t="shared" si="4"/>
        <v>1202198.6343788519</v>
      </c>
      <c r="S28" s="138">
        <f t="shared" si="5"/>
        <v>682201.5023099426</v>
      </c>
    </row>
    <row r="29" spans="1:19" s="4" customFormat="1" ht="12.75">
      <c r="A29" s="124">
        <f t="shared" si="0"/>
      </c>
      <c r="B29" s="125">
        <v>27</v>
      </c>
      <c r="C29" s="124">
        <f t="shared" si="1"/>
      </c>
      <c r="D29" s="129">
        <v>27</v>
      </c>
      <c r="E29" s="12">
        <f>E28*(1+'Ranges and Data'!$A$3)</f>
        <v>97046.60703947292</v>
      </c>
      <c r="F29" s="121">
        <f t="shared" si="6"/>
        <v>61</v>
      </c>
      <c r="G29" s="13">
        <f>AVERAGE($E$3:E29)</f>
        <v>67849.38919834206</v>
      </c>
      <c r="H29" s="13">
        <f>E29*'Ranges and Data'!$A$5</f>
        <v>1940932.1407894583</v>
      </c>
      <c r="I29" s="12">
        <f>E29*'Ranges and Data'!$A$4</f>
        <v>8734.194633552563</v>
      </c>
      <c r="J29" s="10">
        <f t="shared" si="9"/>
        <v>440650.53368318203</v>
      </c>
      <c r="K29" s="10">
        <f>J29*Questions!$B$10</f>
        <v>30845.537357822745</v>
      </c>
      <c r="L29" s="10">
        <f>$I29*Questions!$B$10/2</f>
        <v>305.6968121743397</v>
      </c>
      <c r="M29" s="10">
        <f t="shared" si="2"/>
        <v>480535.9624867317</v>
      </c>
      <c r="N29" s="11">
        <f t="shared" si="3"/>
        <v>1460396.1783027267</v>
      </c>
      <c r="O29" s="12">
        <f t="shared" si="10"/>
        <v>1202198.6343788519</v>
      </c>
      <c r="P29" s="12">
        <f>O29*'Ranges and Data'!$A$1</f>
        <v>157488.0211036296</v>
      </c>
      <c r="Q29" s="12">
        <f>$I29*'Ranges and Data'!$A$1/2</f>
        <v>572.0897484976929</v>
      </c>
      <c r="R29" s="12">
        <f t="shared" si="4"/>
        <v>1368992.9398645316</v>
      </c>
      <c r="S29" s="138">
        <f t="shared" si="5"/>
        <v>571939.2009249267</v>
      </c>
    </row>
    <row r="30" spans="1:19" s="4" customFormat="1" ht="12.75">
      <c r="A30" s="124">
        <f t="shared" si="0"/>
      </c>
      <c r="B30" s="125">
        <v>28</v>
      </c>
      <c r="C30" s="124">
        <f t="shared" si="1"/>
      </c>
      <c r="D30" s="129">
        <v>28</v>
      </c>
      <c r="E30" s="12">
        <f>E29*(1+'Ranges and Data'!$A$3)</f>
        <v>99958.00525065711</v>
      </c>
      <c r="F30" s="121">
        <f t="shared" si="6"/>
        <v>62</v>
      </c>
      <c r="G30" s="13">
        <f>AVERAGE($E$3:E30)</f>
        <v>68996.12548592474</v>
      </c>
      <c r="H30" s="13">
        <f>E30*'Ranges and Data'!$A$5</f>
        <v>1999160.105013142</v>
      </c>
      <c r="I30" s="12">
        <f>E30*'Ranges and Data'!$A$4</f>
        <v>8996.22047255914</v>
      </c>
      <c r="J30" s="10">
        <f t="shared" si="9"/>
        <v>480535.9624867317</v>
      </c>
      <c r="K30" s="10">
        <f>J30*Questions!$B$10</f>
        <v>33637.51737407122</v>
      </c>
      <c r="L30" s="10">
        <f>$I30*Questions!$B$10/2</f>
        <v>314.8677165395699</v>
      </c>
      <c r="M30" s="10">
        <f t="shared" si="2"/>
        <v>523484.5680499017</v>
      </c>
      <c r="N30" s="11">
        <f t="shared" si="3"/>
        <v>1475675.5369632405</v>
      </c>
      <c r="O30" s="12">
        <f t="shared" si="10"/>
        <v>1368992.9398645316</v>
      </c>
      <c r="P30" s="12">
        <f>O30*'Ranges and Data'!$A$1</f>
        <v>179338.07512225365</v>
      </c>
      <c r="Q30" s="12">
        <f>$I30*'Ranges and Data'!$A$1/2</f>
        <v>589.2524409526237</v>
      </c>
      <c r="R30" s="12">
        <f t="shared" si="4"/>
        <v>1557916.4879002972</v>
      </c>
      <c r="S30" s="138">
        <f t="shared" si="5"/>
        <v>441243.61711284495</v>
      </c>
    </row>
    <row r="31" spans="1:19" s="4" customFormat="1" ht="12.75">
      <c r="A31" s="124">
        <f t="shared" si="0"/>
      </c>
      <c r="B31" s="125">
        <v>29</v>
      </c>
      <c r="C31" s="124">
        <f t="shared" si="1"/>
      </c>
      <c r="D31" s="129">
        <v>29</v>
      </c>
      <c r="E31" s="12">
        <f>E30*(1+'Ranges and Data'!$A$3)</f>
        <v>102956.74540817682</v>
      </c>
      <c r="F31" s="121">
        <f t="shared" si="6"/>
        <v>63</v>
      </c>
      <c r="G31" s="13">
        <f>AVERAGE($E$3:E31)</f>
        <v>70167.18134531275</v>
      </c>
      <c r="H31" s="13">
        <f>E31*'Ranges and Data'!$A$5</f>
        <v>2059134.9081635363</v>
      </c>
      <c r="I31" s="12">
        <f>E31*'Ranges and Data'!$A$4</f>
        <v>9266.107086735914</v>
      </c>
      <c r="J31" s="10">
        <f t="shared" si="9"/>
        <v>523484.5680499017</v>
      </c>
      <c r="K31" s="10">
        <f>J31*Questions!$B$10</f>
        <v>36643.91976349312</v>
      </c>
      <c r="L31" s="10">
        <f>$I31*Questions!$B$10/2</f>
        <v>324.31374803575704</v>
      </c>
      <c r="M31" s="10">
        <f t="shared" si="2"/>
        <v>569718.9086481665</v>
      </c>
      <c r="N31" s="11">
        <f t="shared" si="3"/>
        <v>1489415.99951537</v>
      </c>
      <c r="O31" s="12">
        <f t="shared" si="10"/>
        <v>1557916.4879002972</v>
      </c>
      <c r="P31" s="12">
        <f>O31*'Ranges and Data'!$A$1</f>
        <v>204087.05991493893</v>
      </c>
      <c r="Q31" s="12">
        <f>$I31*'Ranges and Data'!$A$1/2</f>
        <v>606.9300141812024</v>
      </c>
      <c r="R31" s="12">
        <f t="shared" si="4"/>
        <v>1771876.5849161532</v>
      </c>
      <c r="S31" s="138">
        <f t="shared" si="5"/>
        <v>287258.3232473831</v>
      </c>
    </row>
    <row r="32" spans="1:19" s="4" customFormat="1" ht="12.75">
      <c r="A32" s="124">
        <f t="shared" si="0"/>
      </c>
      <c r="B32" s="125">
        <v>30</v>
      </c>
      <c r="C32" s="124">
        <f t="shared" si="1"/>
      </c>
      <c r="D32" s="129">
        <v>30</v>
      </c>
      <c r="E32" s="12">
        <f>E31*(1+'Ranges and Data'!$A$3)</f>
        <v>106045.44777042214</v>
      </c>
      <c r="F32" s="121">
        <f t="shared" si="6"/>
        <v>64</v>
      </c>
      <c r="G32" s="13">
        <f>AVERAGE($E$3:E32)</f>
        <v>71363.12355948307</v>
      </c>
      <c r="H32" s="13">
        <f>E32*'Ranges and Data'!$A$5</f>
        <v>2120908.9554084428</v>
      </c>
      <c r="I32" s="12">
        <f>E32*'Ranges and Data'!$A$4</f>
        <v>9544.090299337991</v>
      </c>
      <c r="J32" s="10">
        <f>M31</f>
        <v>569718.9086481665</v>
      </c>
      <c r="K32" s="10">
        <f>J32*Questions!$B$10</f>
        <v>39880.323605371654</v>
      </c>
      <c r="L32" s="10">
        <f>$I32*Questions!$B$10/2</f>
        <v>334.0431604768297</v>
      </c>
      <c r="M32" s="10">
        <f t="shared" si="2"/>
        <v>619477.3657133529</v>
      </c>
      <c r="N32" s="11">
        <f t="shared" si="3"/>
        <v>1501431.58969509</v>
      </c>
      <c r="O32" s="12">
        <f>R31</f>
        <v>1771876.5849161532</v>
      </c>
      <c r="P32" s="12">
        <f>O32*'Ranges and Data'!$A$1</f>
        <v>232115.83262401607</v>
      </c>
      <c r="Q32" s="12">
        <f>$I32*'Ranges and Data'!$A$1/2</f>
        <v>625.1379146066384</v>
      </c>
      <c r="R32" s="12">
        <f t="shared" si="4"/>
        <v>2014161.645754114</v>
      </c>
      <c r="S32" s="138">
        <f t="shared" si="5"/>
        <v>106747.30965432874</v>
      </c>
    </row>
    <row r="33" spans="1:19" s="4" customFormat="1" ht="12.75">
      <c r="A33" s="124" t="str">
        <f t="shared" si="0"/>
        <v>CIH Goal</v>
      </c>
      <c r="B33" s="125">
        <v>31</v>
      </c>
      <c r="C33" s="124">
        <f t="shared" si="1"/>
      </c>
      <c r="D33" s="129">
        <v>31</v>
      </c>
      <c r="E33" s="12">
        <f>E32*(1+'Ranges and Data'!$A$3)</f>
        <v>109226.8112035348</v>
      </c>
      <c r="F33" s="121">
        <f t="shared" si="6"/>
        <v>65</v>
      </c>
      <c r="G33" s="13">
        <f>AVERAGE($E$3:E33)</f>
        <v>72584.53283832344</v>
      </c>
      <c r="H33" s="13">
        <f>E33*'Ranges and Data'!$A$5</f>
        <v>2184536.224070696</v>
      </c>
      <c r="I33" s="12">
        <f>E33*'Ranges and Data'!$A$4</f>
        <v>9830.413008318132</v>
      </c>
      <c r="J33" s="10">
        <f aca="true" t="shared" si="11" ref="J33:J41">M32</f>
        <v>619477.3657133529</v>
      </c>
      <c r="K33" s="10">
        <f>J33*Questions!$B$10</f>
        <v>43363.415599934706</v>
      </c>
      <c r="L33" s="10">
        <f>$I33*Questions!$B$10/2</f>
        <v>344.06445529113466</v>
      </c>
      <c r="M33" s="10">
        <f t="shared" si="2"/>
        <v>673015.258776897</v>
      </c>
      <c r="N33" s="11">
        <f t="shared" si="3"/>
        <v>1511520.965293799</v>
      </c>
      <c r="O33" s="12">
        <f aca="true" t="shared" si="12" ref="O33:O41">R32</f>
        <v>2014161.645754114</v>
      </c>
      <c r="P33" s="12">
        <f>O33*'Ranges and Data'!$A$1</f>
        <v>263855.17559378897</v>
      </c>
      <c r="Q33" s="12">
        <f>$I33*'Ranges and Data'!$A$1/2</f>
        <v>643.8920520448377</v>
      </c>
      <c r="R33" s="12">
        <f t="shared" si="4"/>
        <v>2288491.126408266</v>
      </c>
      <c r="S33" s="138">
        <f t="shared" si="5"/>
        <v>-103954.90233756974</v>
      </c>
    </row>
    <row r="34" spans="1:19" s="4" customFormat="1" ht="12.75">
      <c r="A34" s="124" t="str">
        <f t="shared" si="0"/>
        <v>CIH Goal</v>
      </c>
      <c r="B34" s="125">
        <v>32</v>
      </c>
      <c r="C34" s="124">
        <f t="shared" si="1"/>
      </c>
      <c r="D34" s="129">
        <v>32</v>
      </c>
      <c r="E34" s="12">
        <f>E33*(1+'Ranges and Data'!$A$3)</f>
        <v>112503.61553964084</v>
      </c>
      <c r="F34" s="121">
        <f t="shared" si="6"/>
        <v>66</v>
      </c>
      <c r="G34" s="13">
        <f>AVERAGE($E$3:E34)</f>
        <v>73832.0041727396</v>
      </c>
      <c r="H34" s="13">
        <f>E34*'Ranges and Data'!$A$5</f>
        <v>2250072.310792817</v>
      </c>
      <c r="I34" s="12">
        <f>E34*'Ranges and Data'!$A$4</f>
        <v>10125.325398567675</v>
      </c>
      <c r="J34" s="10">
        <f t="shared" si="11"/>
        <v>673015.258776897</v>
      </c>
      <c r="K34" s="10">
        <f>J34*Questions!$B$10</f>
        <v>47111.06811438279</v>
      </c>
      <c r="L34" s="10">
        <f>$I34*Questions!$B$10/2</f>
        <v>354.38638894986866</v>
      </c>
      <c r="M34" s="10">
        <f t="shared" si="2"/>
        <v>730606.0386787973</v>
      </c>
      <c r="N34" s="11">
        <f t="shared" si="3"/>
        <v>1519466.2721140194</v>
      </c>
      <c r="O34" s="12">
        <f t="shared" si="12"/>
        <v>2288491.126408266</v>
      </c>
      <c r="P34" s="12">
        <f>O34*'Ranges and Data'!$A$1</f>
        <v>299792.33755948284</v>
      </c>
      <c r="Q34" s="12">
        <f>$I34*'Ranges and Data'!$A$1/2</f>
        <v>663.2088136061827</v>
      </c>
      <c r="R34" s="12">
        <f t="shared" si="4"/>
        <v>2599071.998179923</v>
      </c>
      <c r="S34" s="138">
        <f t="shared" si="5"/>
        <v>-348999.687387106</v>
      </c>
    </row>
    <row r="35" spans="1:19" s="4" customFormat="1" ht="12.75">
      <c r="A35" s="124" t="str">
        <f aca="true" t="shared" si="13" ref="A35:A66">IF(S35&lt;0,"CIH Goal","")</f>
        <v>CIH Goal</v>
      </c>
      <c r="B35" s="125">
        <v>33</v>
      </c>
      <c r="C35" s="124">
        <f t="shared" si="1"/>
      </c>
      <c r="D35" s="129">
        <v>33</v>
      </c>
      <c r="E35" s="12">
        <f>E34*(1+'Ranges and Data'!$A$3)</f>
        <v>115878.72400583007</v>
      </c>
      <c r="F35" s="121">
        <f t="shared" si="6"/>
        <v>67</v>
      </c>
      <c r="G35" s="13">
        <f>AVERAGE($E$3:E35)</f>
        <v>75106.14719798477</v>
      </c>
      <c r="H35" s="13">
        <f>E35*'Ranges and Data'!$A$5</f>
        <v>2317574.480116601</v>
      </c>
      <c r="I35" s="12">
        <f>E35*'Ranges and Data'!$A$4</f>
        <v>10429.085160524706</v>
      </c>
      <c r="J35" s="10">
        <f t="shared" si="11"/>
        <v>730606.0386787973</v>
      </c>
      <c r="K35" s="10">
        <f>J35*Questions!$B$10</f>
        <v>51142.42270751582</v>
      </c>
      <c r="L35" s="10">
        <f>$I35*Questions!$B$10/2</f>
        <v>365.01798061836473</v>
      </c>
      <c r="M35" s="10">
        <f t="shared" si="2"/>
        <v>792542.5645274562</v>
      </c>
      <c r="N35" s="11">
        <f t="shared" si="3"/>
        <v>1525031.915589145</v>
      </c>
      <c r="O35" s="12">
        <f t="shared" si="12"/>
        <v>2599071.998179923</v>
      </c>
      <c r="P35" s="12">
        <f>O35*'Ranges and Data'!$A$1</f>
        <v>340478.4317615699</v>
      </c>
      <c r="Q35" s="12">
        <f>$I35*'Ranges and Data'!$A$1/2</f>
        <v>683.1050780143682</v>
      </c>
      <c r="R35" s="12">
        <f t="shared" si="4"/>
        <v>2950662.6201800318</v>
      </c>
      <c r="S35" s="138">
        <f t="shared" si="5"/>
        <v>-633088.1400634306</v>
      </c>
    </row>
    <row r="36" spans="1:19" s="4" customFormat="1" ht="12.75">
      <c r="A36" s="124" t="str">
        <f t="shared" si="13"/>
        <v>CIH Goal</v>
      </c>
      <c r="B36" s="125">
        <v>34</v>
      </c>
      <c r="C36" s="124">
        <f t="shared" si="1"/>
      </c>
      <c r="D36" s="129">
        <v>34</v>
      </c>
      <c r="E36" s="12">
        <f>E35*(1+'Ranges and Data'!$A$3)</f>
        <v>119355.08572600497</v>
      </c>
      <c r="F36" s="121">
        <f t="shared" si="6"/>
        <v>68</v>
      </c>
      <c r="G36" s="13">
        <f>AVERAGE($E$3:E36)</f>
        <v>76407.58656645595</v>
      </c>
      <c r="H36" s="13">
        <f>E36*'Ranges and Data'!$A$5</f>
        <v>2387101.7145200996</v>
      </c>
      <c r="I36" s="12">
        <f>E36*'Ranges and Data'!$A$4</f>
        <v>10741.957715340446</v>
      </c>
      <c r="J36" s="10">
        <f t="shared" si="11"/>
        <v>792542.5645274562</v>
      </c>
      <c r="K36" s="10">
        <f>J36*Questions!$B$10</f>
        <v>55477.979516921936</v>
      </c>
      <c r="L36" s="10">
        <f>$I36*Questions!$B$10/2</f>
        <v>375.96852003691566</v>
      </c>
      <c r="M36" s="10">
        <f t="shared" si="2"/>
        <v>859138.4702797554</v>
      </c>
      <c r="N36" s="11">
        <f t="shared" si="3"/>
        <v>1527963.244240344</v>
      </c>
      <c r="O36" s="12">
        <f t="shared" si="12"/>
        <v>2950662.6201800318</v>
      </c>
      <c r="P36" s="12">
        <f>O36*'Ranges and Data'!$A$1</f>
        <v>386536.8032435842</v>
      </c>
      <c r="Q36" s="12">
        <f>$I36*'Ranges and Data'!$A$1/2</f>
        <v>703.5982303547993</v>
      </c>
      <c r="R36" s="12">
        <f t="shared" si="4"/>
        <v>3348644.979369311</v>
      </c>
      <c r="S36" s="138">
        <f t="shared" si="5"/>
        <v>-961543.2648492116</v>
      </c>
    </row>
    <row r="37" spans="1:19" s="4" customFormat="1" ht="12.75">
      <c r="A37" s="124" t="str">
        <f t="shared" si="13"/>
        <v>CIH Goal</v>
      </c>
      <c r="B37" s="125">
        <v>35</v>
      </c>
      <c r="C37" s="124">
        <f t="shared" si="1"/>
      </c>
      <c r="D37" s="129">
        <v>35</v>
      </c>
      <c r="E37" s="12">
        <f>E36*(1+'Ranges and Data'!$A$3)</f>
        <v>122935.73829778512</v>
      </c>
      <c r="F37" s="121">
        <f t="shared" si="6"/>
        <v>69</v>
      </c>
      <c r="G37" s="13">
        <f>AVERAGE($E$3:E37)</f>
        <v>77736.96233020822</v>
      </c>
      <c r="H37" s="13">
        <f>E37*'Ranges and Data'!$A$5</f>
        <v>2458714.7659557024</v>
      </c>
      <c r="I37" s="12">
        <f>E37*'Ranges and Data'!$A$4</f>
        <v>11064.216446800661</v>
      </c>
      <c r="J37" s="10">
        <f t="shared" si="11"/>
        <v>859138.4702797554</v>
      </c>
      <c r="K37" s="10">
        <f>J37*Questions!$B$10</f>
        <v>60139.692919582885</v>
      </c>
      <c r="L37" s="10">
        <f>$I37*Questions!$B$10/2</f>
        <v>387.2475756380232</v>
      </c>
      <c r="M37" s="10">
        <f t="shared" si="2"/>
        <v>930729.627221777</v>
      </c>
      <c r="N37" s="11">
        <f t="shared" si="3"/>
        <v>1527985.1387339253</v>
      </c>
      <c r="O37" s="12">
        <f t="shared" si="12"/>
        <v>3348644.979369311</v>
      </c>
      <c r="P37" s="12">
        <f>O37*'Ranges and Data'!$A$1</f>
        <v>438672.49229737977</v>
      </c>
      <c r="Q37" s="12">
        <f>$I37*'Ranges and Data'!$A$1/2</f>
        <v>724.7061772654433</v>
      </c>
      <c r="R37" s="12">
        <f t="shared" si="4"/>
        <v>3799106.394290757</v>
      </c>
      <c r="S37" s="138">
        <f t="shared" si="5"/>
        <v>-1340391.6283350545</v>
      </c>
    </row>
    <row r="38" spans="1:19" s="4" customFormat="1" ht="12.75">
      <c r="A38" s="124" t="str">
        <f t="shared" si="13"/>
        <v>CIH Goal</v>
      </c>
      <c r="B38" s="125">
        <v>36</v>
      </c>
      <c r="C38" s="124">
        <f t="shared" si="1"/>
      </c>
      <c r="D38" s="129">
        <v>36</v>
      </c>
      <c r="E38" s="12">
        <f>E37*(1+'Ranges and Data'!$A$3)</f>
        <v>126623.81044671868</v>
      </c>
      <c r="F38" s="121">
        <f t="shared" si="6"/>
        <v>70</v>
      </c>
      <c r="G38" s="13">
        <f>AVERAGE($E$3:E38)</f>
        <v>79094.93033344462</v>
      </c>
      <c r="H38" s="13">
        <f>E38*'Ranges and Data'!$A$5</f>
        <v>2532476.2089343737</v>
      </c>
      <c r="I38" s="12">
        <f>E38*'Ranges and Data'!$A$4</f>
        <v>11396.142940204682</v>
      </c>
      <c r="J38" s="10">
        <f t="shared" si="11"/>
        <v>930729.627221777</v>
      </c>
      <c r="K38" s="10">
        <f>J38*Questions!$B$10</f>
        <v>65151.0739055244</v>
      </c>
      <c r="L38" s="10">
        <f>$I38*Questions!$B$10/2</f>
        <v>398.8650029071639</v>
      </c>
      <c r="M38" s="10">
        <f t="shared" si="2"/>
        <v>1007675.7090704133</v>
      </c>
      <c r="N38" s="11">
        <f t="shared" si="3"/>
        <v>1524800.4998639603</v>
      </c>
      <c r="O38" s="12">
        <f t="shared" si="12"/>
        <v>3799106.394290757</v>
      </c>
      <c r="P38" s="12">
        <f>O38*'Ranges and Data'!$A$1</f>
        <v>497682.93765208917</v>
      </c>
      <c r="Q38" s="12">
        <f>$I38*'Ranges and Data'!$A$1/2</f>
        <v>746.4473625834066</v>
      </c>
      <c r="R38" s="12">
        <f t="shared" si="4"/>
        <v>4308931.922245634</v>
      </c>
      <c r="S38" s="138">
        <f t="shared" si="5"/>
        <v>-1776455.71331126</v>
      </c>
    </row>
    <row r="39" spans="1:19" s="4" customFormat="1" ht="12.75">
      <c r="A39" s="124" t="str">
        <f t="shared" si="13"/>
        <v>CIH Goal</v>
      </c>
      <c r="B39" s="125">
        <v>37</v>
      </c>
      <c r="C39" s="124">
        <f t="shared" si="1"/>
      </c>
      <c r="D39" s="129">
        <v>37</v>
      </c>
      <c r="E39" s="12">
        <f>E38*(1+'Ranges and Data'!$A$3)</f>
        <v>130422.52476012024</v>
      </c>
      <c r="F39" s="121">
        <f t="shared" si="6"/>
        <v>71</v>
      </c>
      <c r="G39" s="13">
        <f>AVERAGE($E$3:E39)</f>
        <v>80482.16261524665</v>
      </c>
      <c r="H39" s="13">
        <f>E39*'Ranges and Data'!$A$5</f>
        <v>2608450.495202405</v>
      </c>
      <c r="I39" s="12">
        <f>E39*'Ranges and Data'!$A$4</f>
        <v>11738.027228410821</v>
      </c>
      <c r="J39" s="10">
        <f t="shared" si="11"/>
        <v>1007675.7090704133</v>
      </c>
      <c r="K39" s="10">
        <f>J39*Questions!$B$10</f>
        <v>70537.29963492893</v>
      </c>
      <c r="L39" s="10">
        <f>$I39*Questions!$B$10/2</f>
        <v>410.8309529943788</v>
      </c>
      <c r="M39" s="10">
        <f t="shared" si="2"/>
        <v>1090361.8668867473</v>
      </c>
      <c r="N39" s="11">
        <f t="shared" si="3"/>
        <v>1518088.6283156576</v>
      </c>
      <c r="O39" s="12">
        <f t="shared" si="12"/>
        <v>4308931.922245634</v>
      </c>
      <c r="P39" s="12">
        <f>O39*'Ranges and Data'!$A$1</f>
        <v>564470.081814178</v>
      </c>
      <c r="Q39" s="12">
        <f>$I39*'Ranges and Data'!$A$1/2</f>
        <v>768.8407834609088</v>
      </c>
      <c r="R39" s="12">
        <f t="shared" si="4"/>
        <v>4885908.872071683</v>
      </c>
      <c r="S39" s="138">
        <f t="shared" si="5"/>
        <v>-2277458.3768692785</v>
      </c>
    </row>
    <row r="40" spans="1:19" s="4" customFormat="1" ht="12.75">
      <c r="A40" s="124" t="str">
        <f t="shared" si="13"/>
        <v>CIH Goal</v>
      </c>
      <c r="B40" s="125">
        <v>38</v>
      </c>
      <c r="C40" s="124">
        <f t="shared" si="1"/>
      </c>
      <c r="D40" s="129">
        <v>38</v>
      </c>
      <c r="E40" s="12">
        <f>E39*(1+'Ranges and Data'!$A$3)</f>
        <v>134335.20050292386</v>
      </c>
      <c r="F40" s="121">
        <f t="shared" si="6"/>
        <v>72</v>
      </c>
      <c r="G40" s="13">
        <f>AVERAGE($E$3:E40)</f>
        <v>81899.3478228171</v>
      </c>
      <c r="H40" s="13">
        <f>E40*'Ranges and Data'!$A$5</f>
        <v>2686704.0100584775</v>
      </c>
      <c r="I40" s="12">
        <f>E40*'Ranges and Data'!$A$4</f>
        <v>12090.168045263148</v>
      </c>
      <c r="J40" s="10">
        <f t="shared" si="11"/>
        <v>1090361.8668867473</v>
      </c>
      <c r="K40" s="10">
        <f>J40*Questions!$B$10</f>
        <v>76325.33068207232</v>
      </c>
      <c r="L40" s="10">
        <f>$I40*Questions!$B$10/2</f>
        <v>423.15588158421025</v>
      </c>
      <c r="M40" s="10">
        <f t="shared" si="2"/>
        <v>1179200.5214956668</v>
      </c>
      <c r="N40" s="11">
        <f t="shared" si="3"/>
        <v>1507503.4885628107</v>
      </c>
      <c r="O40" s="12">
        <f t="shared" si="12"/>
        <v>4885908.872071683</v>
      </c>
      <c r="P40" s="12">
        <f>O40*'Ranges and Data'!$A$1</f>
        <v>640054.0622413906</v>
      </c>
      <c r="Q40" s="12">
        <f>$I40*'Ranges and Data'!$A$1/2</f>
        <v>791.9060069647362</v>
      </c>
      <c r="R40" s="12">
        <f t="shared" si="4"/>
        <v>5538845.008365301</v>
      </c>
      <c r="S40" s="138">
        <f t="shared" si="5"/>
        <v>-2852140.998306824</v>
      </c>
    </row>
    <row r="41" spans="1:19" s="4" customFormat="1" ht="12.75">
      <c r="A41" s="124" t="str">
        <f t="shared" si="13"/>
        <v>CIH Goal</v>
      </c>
      <c r="B41" s="125">
        <v>39</v>
      </c>
      <c r="C41" s="124">
        <f t="shared" si="1"/>
      </c>
      <c r="D41" s="129">
        <v>39</v>
      </c>
      <c r="E41" s="12">
        <f>E40*(1+'Ranges and Data'!$A$3)</f>
        <v>138365.2565180116</v>
      </c>
      <c r="F41" s="121">
        <f t="shared" si="6"/>
        <v>73</v>
      </c>
      <c r="G41" s="13">
        <f>AVERAGE($E$3:E41)</f>
        <v>83347.19163551439</v>
      </c>
      <c r="H41" s="13">
        <f>E41*'Ranges and Data'!$A$5</f>
        <v>2767305.1303602317</v>
      </c>
      <c r="I41" s="12">
        <f>E41*'Ranges and Data'!$A$4</f>
        <v>12452.873086621043</v>
      </c>
      <c r="J41" s="10">
        <f t="shared" si="11"/>
        <v>1179200.5214956668</v>
      </c>
      <c r="K41" s="10">
        <f>J41*Questions!$B$10</f>
        <v>82544.03650469669</v>
      </c>
      <c r="L41" s="10">
        <f>$I41*Questions!$B$10/2</f>
        <v>435.8505580317365</v>
      </c>
      <c r="M41" s="10">
        <f t="shared" si="2"/>
        <v>1274633.2816450163</v>
      </c>
      <c r="N41" s="11">
        <f t="shared" si="3"/>
        <v>1492671.8487152155</v>
      </c>
      <c r="O41" s="12">
        <f t="shared" si="12"/>
        <v>5538845.008365301</v>
      </c>
      <c r="P41" s="12">
        <f>O41*'Ranges and Data'!$A$1</f>
        <v>725588.6960958545</v>
      </c>
      <c r="Q41" s="12">
        <f>$I41*'Ranges and Data'!$A$1/2</f>
        <v>815.6631871736784</v>
      </c>
      <c r="R41" s="12">
        <f t="shared" si="4"/>
        <v>6277702.240734951</v>
      </c>
      <c r="S41" s="138">
        <f t="shared" si="5"/>
        <v>-3510397.110374719</v>
      </c>
    </row>
    <row r="42" spans="1:19" s="4" customFormat="1" ht="12.75">
      <c r="A42" s="124" t="str">
        <f t="shared" si="13"/>
        <v>CIH Goal</v>
      </c>
      <c r="B42" s="125">
        <v>40</v>
      </c>
      <c r="C42" s="124">
        <f t="shared" si="1"/>
      </c>
      <c r="D42" s="129">
        <v>40</v>
      </c>
      <c r="E42" s="12">
        <f>E41*(1+'Ranges and Data'!$A$3)</f>
        <v>142516.21421355195</v>
      </c>
      <c r="F42" s="121">
        <f t="shared" si="6"/>
        <v>74</v>
      </c>
      <c r="G42" s="13">
        <f>AVERAGE($E$3:E42)</f>
        <v>84826.41719996533</v>
      </c>
      <c r="H42" s="13">
        <f>E42*'Ranges and Data'!$A$5</f>
        <v>2850324.284271039</v>
      </c>
      <c r="I42" s="12">
        <f>E42*'Ranges and Data'!$A$4</f>
        <v>12826.459279219674</v>
      </c>
      <c r="J42" s="10">
        <f>M41</f>
        <v>1274633.2816450163</v>
      </c>
      <c r="K42" s="10">
        <f>J42*Questions!$B$10</f>
        <v>89224.32971515115</v>
      </c>
      <c r="L42" s="10">
        <f>$I42*Questions!$B$10/2</f>
        <v>448.92607477268865</v>
      </c>
      <c r="M42" s="10">
        <f t="shared" si="2"/>
        <v>1377132.9967141596</v>
      </c>
      <c r="N42" s="11">
        <f t="shared" si="3"/>
        <v>1473191.2875568795</v>
      </c>
      <c r="O42" s="12">
        <f>R41</f>
        <v>6277702.240734951</v>
      </c>
      <c r="P42" s="12">
        <f>O42*'Ranges and Data'!$A$1</f>
        <v>822378.9935362786</v>
      </c>
      <c r="Q42" s="12">
        <f>$I42*'Ranges and Data'!$A$1/2</f>
        <v>840.1330827888887</v>
      </c>
      <c r="R42" s="12">
        <f t="shared" si="4"/>
        <v>7113747.826633237</v>
      </c>
      <c r="S42" s="138">
        <f t="shared" si="5"/>
        <v>-4263423.542362198</v>
      </c>
    </row>
    <row r="43" spans="1:19" s="4" customFormat="1" ht="12.75">
      <c r="A43" s="124" t="str">
        <f t="shared" si="13"/>
        <v>CIH Goal</v>
      </c>
      <c r="B43" s="125">
        <v>41</v>
      </c>
      <c r="C43" s="124">
        <f t="shared" si="1"/>
      </c>
      <c r="D43" s="129">
        <v>41</v>
      </c>
      <c r="E43" s="12">
        <f>E42*(1+'Ranges and Data'!$A$3)</f>
        <v>146791.70063995852</v>
      </c>
      <c r="F43" s="121">
        <f t="shared" si="6"/>
        <v>75</v>
      </c>
      <c r="G43" s="13">
        <f>AVERAGE($E$3:E43)</f>
        <v>86337.76557655053</v>
      </c>
      <c r="H43" s="13">
        <f>E43*'Ranges and Data'!$A$5</f>
        <v>2935834.0127991703</v>
      </c>
      <c r="I43" s="12">
        <f>E43*'Ranges and Data'!$A$4</f>
        <v>13211.253057596266</v>
      </c>
      <c r="J43" s="10">
        <f aca="true" t="shared" si="14" ref="J43:J52">M42</f>
        <v>1377132.9967141596</v>
      </c>
      <c r="K43" s="10">
        <f>J43*Questions!$B$10</f>
        <v>96399.30976999119</v>
      </c>
      <c r="L43" s="10">
        <f>$I43*Questions!$B$10/2</f>
        <v>462.39385701586934</v>
      </c>
      <c r="M43" s="10">
        <f t="shared" si="2"/>
        <v>1487205.9533987627</v>
      </c>
      <c r="N43" s="11">
        <f t="shared" si="3"/>
        <v>1448628.0594004076</v>
      </c>
      <c r="O43" s="12">
        <f aca="true" t="shared" si="15" ref="O43:O52">R42</f>
        <v>7113747.826633237</v>
      </c>
      <c r="P43" s="12">
        <f>O43*'Ranges and Data'!$A$1</f>
        <v>931900.9652889541</v>
      </c>
      <c r="Q43" s="12">
        <f>$I43*'Ranges and Data'!$A$1/2</f>
        <v>865.3370752725555</v>
      </c>
      <c r="R43" s="12">
        <f t="shared" si="4"/>
        <v>8059725.38205506</v>
      </c>
      <c r="S43" s="138">
        <f t="shared" si="5"/>
        <v>-5123891.369255889</v>
      </c>
    </row>
    <row r="44" spans="1:19" s="4" customFormat="1" ht="12.75">
      <c r="A44" s="124" t="str">
        <f t="shared" si="13"/>
        <v>CIH Goal</v>
      </c>
      <c r="B44" s="125">
        <v>42</v>
      </c>
      <c r="C44" s="124">
        <f t="shared" si="1"/>
      </c>
      <c r="D44" s="129">
        <v>42</v>
      </c>
      <c r="E44" s="12">
        <f>E43*(1+'Ranges and Data'!$A$3)</f>
        <v>151195.4516591573</v>
      </c>
      <c r="F44" s="121">
        <f t="shared" si="6"/>
        <v>76</v>
      </c>
      <c r="G44" s="13">
        <f>AVERAGE($E$3:E44)</f>
        <v>87881.99619756498</v>
      </c>
      <c r="H44" s="13">
        <f>E44*'Ranges and Data'!$A$5</f>
        <v>3023909.033183146</v>
      </c>
      <c r="I44" s="12">
        <f>E44*'Ranges and Data'!$A$4</f>
        <v>13607.590649324156</v>
      </c>
      <c r="J44" s="10">
        <f t="shared" si="14"/>
        <v>1487205.9533987627</v>
      </c>
      <c r="K44" s="10">
        <f>J44*Questions!$B$10</f>
        <v>104104.4167379134</v>
      </c>
      <c r="L44" s="10">
        <f>$I44*Questions!$B$10/2</f>
        <v>476.26567272634554</v>
      </c>
      <c r="M44" s="10">
        <f t="shared" si="2"/>
        <v>1605394.2264587267</v>
      </c>
      <c r="N44" s="11">
        <f t="shared" si="3"/>
        <v>1418514.8067244191</v>
      </c>
      <c r="O44" s="12">
        <f t="shared" si="15"/>
        <v>8059725.38205506</v>
      </c>
      <c r="P44" s="12">
        <f>O44*'Ranges and Data'!$A$1</f>
        <v>1055824.0250492129</v>
      </c>
      <c r="Q44" s="12">
        <f>$I44*'Ranges and Data'!$A$1/2</f>
        <v>891.2971875307322</v>
      </c>
      <c r="R44" s="12">
        <f t="shared" si="4"/>
        <v>9130048.294941127</v>
      </c>
      <c r="S44" s="138">
        <f t="shared" si="5"/>
        <v>-6106139.261757981</v>
      </c>
    </row>
    <row r="45" spans="1:19" s="4" customFormat="1" ht="12.75">
      <c r="A45" s="124" t="str">
        <f t="shared" si="13"/>
        <v>CIH Goal</v>
      </c>
      <c r="B45" s="125">
        <v>43</v>
      </c>
      <c r="C45" s="124">
        <f t="shared" si="1"/>
      </c>
      <c r="D45" s="129">
        <v>43</v>
      </c>
      <c r="E45" s="12">
        <f>E44*(1+'Ranges and Data'!$A$3)</f>
        <v>155731.315208932</v>
      </c>
      <c r="F45" s="121">
        <f t="shared" si="6"/>
        <v>77</v>
      </c>
      <c r="G45" s="13">
        <f>AVERAGE($E$3:E45)</f>
        <v>89459.88733736421</v>
      </c>
      <c r="H45" s="13">
        <f>E45*'Ranges and Data'!$A$5</f>
        <v>3114626.3041786402</v>
      </c>
      <c r="I45" s="12">
        <f>E45*'Ranges and Data'!$A$4</f>
        <v>14015.81836880388</v>
      </c>
      <c r="J45" s="10">
        <f t="shared" si="14"/>
        <v>1605394.2264587267</v>
      </c>
      <c r="K45" s="10">
        <f>J45*Questions!$B$10</f>
        <v>112377.59585211088</v>
      </c>
      <c r="L45" s="10">
        <f>$I45*Questions!$B$10/2</f>
        <v>490.5536429081359</v>
      </c>
      <c r="M45" s="10">
        <f t="shared" si="2"/>
        <v>1732278.1943225495</v>
      </c>
      <c r="N45" s="11">
        <f t="shared" si="3"/>
        <v>1382348.1098560907</v>
      </c>
      <c r="O45" s="12">
        <f t="shared" si="15"/>
        <v>9130048.294941127</v>
      </c>
      <c r="P45" s="12">
        <f>O45*'Ranges and Data'!$A$1</f>
        <v>1196036.3266372876</v>
      </c>
      <c r="Q45" s="12">
        <f>$I45*'Ranges and Data'!$A$1/2</f>
        <v>918.0361031566542</v>
      </c>
      <c r="R45" s="12">
        <f t="shared" si="4"/>
        <v>10341018.476050375</v>
      </c>
      <c r="S45" s="138">
        <f t="shared" si="5"/>
        <v>-7226392.171871735</v>
      </c>
    </row>
    <row r="46" spans="1:19" s="4" customFormat="1" ht="12.75">
      <c r="A46" s="124" t="str">
        <f t="shared" si="13"/>
        <v>CIH Goal</v>
      </c>
      <c r="B46" s="125">
        <v>44</v>
      </c>
      <c r="C46" s="124">
        <f t="shared" si="1"/>
      </c>
      <c r="D46" s="129">
        <v>44</v>
      </c>
      <c r="E46" s="12">
        <f>E45*(1+'Ranges and Data'!$A$3)</f>
        <v>160403.25466519996</v>
      </c>
      <c r="F46" s="121">
        <f t="shared" si="6"/>
        <v>78</v>
      </c>
      <c r="G46" s="13">
        <f>AVERAGE($E$3:E46)</f>
        <v>91072.23659481503</v>
      </c>
      <c r="H46" s="13">
        <f>E46*'Ranges and Data'!$A$5</f>
        <v>3208065.093303999</v>
      </c>
      <c r="I46" s="12">
        <f>E46*'Ranges and Data'!$A$4</f>
        <v>14436.292919867996</v>
      </c>
      <c r="J46" s="10">
        <f t="shared" si="14"/>
        <v>1732278.1943225495</v>
      </c>
      <c r="K46" s="10">
        <f>J46*Questions!$B$10</f>
        <v>121259.47360257848</v>
      </c>
      <c r="L46" s="10">
        <f>$I46*Questions!$B$10/2</f>
        <v>505.2702521953799</v>
      </c>
      <c r="M46" s="10">
        <f t="shared" si="2"/>
        <v>1868479.2310971913</v>
      </c>
      <c r="N46" s="11">
        <f t="shared" si="3"/>
        <v>1339585.8622068076</v>
      </c>
      <c r="O46" s="12">
        <f t="shared" si="15"/>
        <v>10341018.476050375</v>
      </c>
      <c r="P46" s="12">
        <f>O46*'Ranges and Data'!$A$1</f>
        <v>1354673.4203625992</v>
      </c>
      <c r="Q46" s="12">
        <f>$I46*'Ranges and Data'!$A$1/2</f>
        <v>945.5771862513537</v>
      </c>
      <c r="R46" s="12">
        <f t="shared" si="4"/>
        <v>11711073.766519094</v>
      </c>
      <c r="S46" s="138">
        <f t="shared" si="5"/>
        <v>-8503008.673215095</v>
      </c>
    </row>
    <row r="47" spans="1:19" s="4" customFormat="1" ht="12.75">
      <c r="A47" s="124" t="str">
        <f t="shared" si="13"/>
        <v>CIH Goal</v>
      </c>
      <c r="B47" s="125">
        <v>45</v>
      </c>
      <c r="C47" s="124">
        <f t="shared" si="1"/>
      </c>
      <c r="D47" s="129">
        <v>45</v>
      </c>
      <c r="E47" s="12">
        <f>E46*(1+'Ranges and Data'!$A$3)</f>
        <v>165215.35230515598</v>
      </c>
      <c r="F47" s="121">
        <f t="shared" si="6"/>
        <v>79</v>
      </c>
      <c r="G47" s="13">
        <f>AVERAGE($E$3:E47)</f>
        <v>92719.86138837817</v>
      </c>
      <c r="H47" s="13">
        <f>E47*'Ranges and Data'!$A$5</f>
        <v>3304307.0461031194</v>
      </c>
      <c r="I47" s="12">
        <f>E47*'Ranges and Data'!$A$4</f>
        <v>14869.381707464037</v>
      </c>
      <c r="J47" s="10">
        <f t="shared" si="14"/>
        <v>1868479.2310971913</v>
      </c>
      <c r="K47" s="10">
        <f>J47*Questions!$B$10</f>
        <v>130793.5461768034</v>
      </c>
      <c r="L47" s="10">
        <f>$I47*Questions!$B$10/2</f>
        <v>520.4283597612414</v>
      </c>
      <c r="M47" s="10">
        <f t="shared" si="2"/>
        <v>2014662.58734122</v>
      </c>
      <c r="N47" s="11">
        <f t="shared" si="3"/>
        <v>1289644.4587618995</v>
      </c>
      <c r="O47" s="12">
        <f t="shared" si="15"/>
        <v>11711073.766519094</v>
      </c>
      <c r="P47" s="12">
        <f>O47*'Ranges and Data'!$A$1</f>
        <v>1534150.6634140015</v>
      </c>
      <c r="Q47" s="12">
        <f>$I47*'Ranges and Data'!$A$1/2</f>
        <v>973.9445018388944</v>
      </c>
      <c r="R47" s="12">
        <f t="shared" si="4"/>
        <v>13261067.756142398</v>
      </c>
      <c r="S47" s="138">
        <f t="shared" si="5"/>
        <v>-9956760.710039278</v>
      </c>
    </row>
    <row r="48" spans="1:19" s="4" customFormat="1" ht="12.75">
      <c r="A48" s="124" t="str">
        <f t="shared" si="13"/>
        <v>CIH Goal</v>
      </c>
      <c r="B48" s="125">
        <v>46</v>
      </c>
      <c r="C48" s="124">
        <f t="shared" si="1"/>
      </c>
      <c r="D48" s="129">
        <v>46</v>
      </c>
      <c r="E48" s="12">
        <f>E47*(1+'Ranges and Data'!$A$3)</f>
        <v>170171.81287431065</v>
      </c>
      <c r="F48" s="121">
        <f t="shared" si="6"/>
        <v>80</v>
      </c>
      <c r="G48" s="13">
        <f>AVERAGE($E$3:E48)</f>
        <v>94403.5994641593</v>
      </c>
      <c r="H48" s="13">
        <f>E48*'Ranges and Data'!$A$5</f>
        <v>3403436.257486213</v>
      </c>
      <c r="I48" s="12">
        <f>E48*'Ranges and Data'!$A$4</f>
        <v>15315.463158687959</v>
      </c>
      <c r="J48" s="10">
        <f t="shared" si="14"/>
        <v>2014662.58734122</v>
      </c>
      <c r="K48" s="10">
        <f>J48*Questions!$B$10</f>
        <v>141026.3811138854</v>
      </c>
      <c r="L48" s="10">
        <f>$I48*Questions!$B$10/2</f>
        <v>536.0412105540786</v>
      </c>
      <c r="M48" s="10">
        <f t="shared" si="2"/>
        <v>2171540.472824347</v>
      </c>
      <c r="N48" s="11">
        <f t="shared" si="3"/>
        <v>1231895.7846618658</v>
      </c>
      <c r="O48" s="12">
        <f t="shared" si="15"/>
        <v>13261067.756142398</v>
      </c>
      <c r="P48" s="12">
        <f>O48*'Ranges and Data'!$A$1</f>
        <v>1737199.8760546544</v>
      </c>
      <c r="Q48" s="12">
        <f>$I48*'Ranges and Data'!$A$1/2</f>
        <v>1003.1628368940613</v>
      </c>
      <c r="R48" s="12">
        <f t="shared" si="4"/>
        <v>15014586.258192634</v>
      </c>
      <c r="S48" s="138">
        <f t="shared" si="5"/>
        <v>-11611150.000706421</v>
      </c>
    </row>
    <row r="49" spans="1:19" s="4" customFormat="1" ht="12.75">
      <c r="A49" s="124" t="str">
        <f t="shared" si="13"/>
        <v>CIH Goal</v>
      </c>
      <c r="B49" s="125">
        <v>47</v>
      </c>
      <c r="C49" s="124">
        <f t="shared" si="1"/>
      </c>
      <c r="D49" s="129">
        <v>47</v>
      </c>
      <c r="E49" s="12">
        <f>E48*(1+'Ranges and Data'!$A$3)</f>
        <v>175276.96726053997</v>
      </c>
      <c r="F49" s="121">
        <f t="shared" si="6"/>
        <v>81</v>
      </c>
      <c r="G49" s="13">
        <f>AVERAGE($E$3:E49)</f>
        <v>96124.30941727378</v>
      </c>
      <c r="H49" s="13">
        <f>E49*'Ranges and Data'!$A$5</f>
        <v>3505539.3452107995</v>
      </c>
      <c r="I49" s="12">
        <f>E49*'Ranges and Data'!$A$4</f>
        <v>15774.927053448597</v>
      </c>
      <c r="J49" s="10">
        <f t="shared" si="14"/>
        <v>2171540.472824347</v>
      </c>
      <c r="K49" s="10">
        <f>J49*Questions!$B$10</f>
        <v>152007.8330977043</v>
      </c>
      <c r="L49" s="10">
        <f>$I49*Questions!$B$10/2</f>
        <v>552.122446870701</v>
      </c>
      <c r="M49" s="10">
        <f t="shared" si="2"/>
        <v>2339875.355422371</v>
      </c>
      <c r="N49" s="11">
        <f t="shared" si="3"/>
        <v>1165663.9897884284</v>
      </c>
      <c r="O49" s="12">
        <f t="shared" si="15"/>
        <v>15014586.258192634</v>
      </c>
      <c r="P49" s="12">
        <f>O49*'Ranges and Data'!$A$1</f>
        <v>1966910.7998232353</v>
      </c>
      <c r="Q49" s="12">
        <f>$I49*'Ranges and Data'!$A$1/2</f>
        <v>1033.2577220008832</v>
      </c>
      <c r="R49" s="12">
        <f t="shared" si="4"/>
        <v>16998305.242791317</v>
      </c>
      <c r="S49" s="138">
        <f t="shared" si="5"/>
        <v>-13492765.897580517</v>
      </c>
    </row>
    <row r="50" spans="1:19" s="4" customFormat="1" ht="12.75">
      <c r="A50" s="124" t="str">
        <f t="shared" si="13"/>
        <v>CIH Goal</v>
      </c>
      <c r="B50" s="125">
        <v>48</v>
      </c>
      <c r="C50" s="124">
        <f t="shared" si="1"/>
      </c>
      <c r="D50" s="129">
        <v>48</v>
      </c>
      <c r="E50" s="12">
        <f>E49*(1+'Ranges and Data'!$A$3)</f>
        <v>180535.27627835618</v>
      </c>
      <c r="F50" s="121">
        <f t="shared" si="6"/>
        <v>82</v>
      </c>
      <c r="G50" s="13">
        <f>AVERAGE($E$3:E50)</f>
        <v>97882.87122687965</v>
      </c>
      <c r="H50" s="13">
        <f>E50*'Ranges and Data'!$A$5</f>
        <v>3610705.5255671237</v>
      </c>
      <c r="I50" s="12">
        <f>E50*'Ranges and Data'!$A$4</f>
        <v>16248.174865052055</v>
      </c>
      <c r="J50" s="10">
        <f t="shared" si="14"/>
        <v>2339875.355422371</v>
      </c>
      <c r="K50" s="10">
        <f>J50*Questions!$B$10</f>
        <v>163791.274879566</v>
      </c>
      <c r="L50" s="10">
        <f>$I50*Questions!$B$10/2</f>
        <v>568.686120276822</v>
      </c>
      <c r="M50" s="10">
        <f t="shared" si="2"/>
        <v>2520483.491287266</v>
      </c>
      <c r="N50" s="11">
        <f t="shared" si="3"/>
        <v>1090222.0342798578</v>
      </c>
      <c r="O50" s="12">
        <f t="shared" si="15"/>
        <v>16998305.242791317</v>
      </c>
      <c r="P50" s="12">
        <f>O50*'Ranges and Data'!$A$1</f>
        <v>2226777.9868056625</v>
      </c>
      <c r="Q50" s="12">
        <f>$I50*'Ranges and Data'!$A$1/2</f>
        <v>1064.2554536609096</v>
      </c>
      <c r="R50" s="12">
        <f t="shared" si="4"/>
        <v>19242395.659915693</v>
      </c>
      <c r="S50" s="138">
        <f t="shared" si="5"/>
        <v>-15631690.13434857</v>
      </c>
    </row>
    <row r="51" spans="1:19" s="4" customFormat="1" ht="12.75">
      <c r="A51" s="124" t="str">
        <f t="shared" si="13"/>
        <v>CIH Goal</v>
      </c>
      <c r="B51" s="125">
        <v>49</v>
      </c>
      <c r="C51" s="124">
        <f t="shared" si="1"/>
      </c>
      <c r="D51" s="129">
        <v>49</v>
      </c>
      <c r="E51" s="12">
        <f>E50*(1+'Ranges and Data'!$A$3)</f>
        <v>185951.33456670688</v>
      </c>
      <c r="F51" s="121">
        <f t="shared" si="6"/>
        <v>83</v>
      </c>
      <c r="G51" s="13">
        <f>AVERAGE($E$3:E51)</f>
        <v>99680.18680524347</v>
      </c>
      <c r="H51" s="13">
        <f>E51*'Ranges and Data'!$A$5</f>
        <v>3719026.6913341377</v>
      </c>
      <c r="I51" s="12">
        <f>E51*'Ranges and Data'!$A$4</f>
        <v>16735.62011100362</v>
      </c>
      <c r="J51" s="10">
        <f t="shared" si="14"/>
        <v>2520483.491287266</v>
      </c>
      <c r="K51" s="10">
        <f>J51*Questions!$B$10</f>
        <v>176433.84439010863</v>
      </c>
      <c r="L51" s="10">
        <f>$I51*Questions!$B$10/2</f>
        <v>585.7467038851267</v>
      </c>
      <c r="M51" s="10">
        <f t="shared" si="2"/>
        <v>2714238.702492263</v>
      </c>
      <c r="N51" s="11">
        <f t="shared" si="3"/>
        <v>1004787.9888418745</v>
      </c>
      <c r="O51" s="12">
        <f t="shared" si="15"/>
        <v>19242395.659915693</v>
      </c>
      <c r="P51" s="12">
        <f>O51*'Ranges and Data'!$A$1</f>
        <v>2520753.831448956</v>
      </c>
      <c r="Q51" s="12">
        <f>$I51*'Ranges and Data'!$A$1/2</f>
        <v>1096.183117270737</v>
      </c>
      <c r="R51" s="12">
        <f t="shared" si="4"/>
        <v>21780981.294592924</v>
      </c>
      <c r="S51" s="138">
        <f t="shared" si="5"/>
        <v>-18061954.60325879</v>
      </c>
    </row>
    <row r="52" spans="1:19" s="4" customFormat="1" ht="12.75">
      <c r="A52" s="124" t="str">
        <f t="shared" si="13"/>
        <v>CIH Goal</v>
      </c>
      <c r="B52" s="125">
        <v>50</v>
      </c>
      <c r="C52" s="124">
        <f t="shared" si="1"/>
      </c>
      <c r="D52" s="129">
        <v>50</v>
      </c>
      <c r="E52" s="12">
        <f>E51*(1+'Ranges and Data'!$A$3)</f>
        <v>191529.8746037081</v>
      </c>
      <c r="F52" s="121">
        <f t="shared" si="6"/>
        <v>84</v>
      </c>
      <c r="G52" s="13">
        <f>AVERAGE($E$3:E52)</f>
        <v>101517.18056121276</v>
      </c>
      <c r="H52" s="13">
        <f>E52*'Ranges and Data'!$A$5</f>
        <v>3830597.492074162</v>
      </c>
      <c r="I52" s="12">
        <f>E52*'Ranges and Data'!$A$4</f>
        <v>17237.68871433373</v>
      </c>
      <c r="J52" s="10">
        <f t="shared" si="14"/>
        <v>2714238.702492263</v>
      </c>
      <c r="K52" s="10">
        <f>J52*Questions!$B$10</f>
        <v>189996.70917445843</v>
      </c>
      <c r="L52" s="10">
        <f>$I52*Questions!$B$10/2</f>
        <v>603.3191050016806</v>
      </c>
      <c r="M52" s="10">
        <f t="shared" si="2"/>
        <v>2922076.419486057</v>
      </c>
      <c r="N52" s="11">
        <f t="shared" si="3"/>
        <v>908521.0725881048</v>
      </c>
      <c r="O52" s="12">
        <f t="shared" si="15"/>
        <v>21780981.294592924</v>
      </c>
      <c r="P52" s="12">
        <f>O52*'Ranges and Data'!$A$1</f>
        <v>2853308.549591673</v>
      </c>
      <c r="Q52" s="12">
        <f>$I52*'Ranges and Data'!$A$1/2</f>
        <v>1129.0686107888594</v>
      </c>
      <c r="R52" s="12">
        <f t="shared" si="4"/>
        <v>24652656.601509716</v>
      </c>
      <c r="S52" s="138">
        <f t="shared" si="5"/>
        <v>-20822059.109435555</v>
      </c>
    </row>
    <row r="53" spans="1:19" s="4" customFormat="1" ht="12.75">
      <c r="A53" s="124" t="str">
        <f t="shared" si="13"/>
        <v>CIH Goal</v>
      </c>
      <c r="B53" s="125">
        <v>51</v>
      </c>
      <c r="C53" s="124">
        <f t="shared" si="1"/>
      </c>
      <c r="D53" s="129">
        <v>51</v>
      </c>
      <c r="E53" s="12">
        <f>E52*(1+'Ranges and Data'!$A$3)</f>
        <v>197275.77084181935</v>
      </c>
      <c r="F53" s="121">
        <f aca="true" t="shared" si="16" ref="F53:F76">F52+1</f>
        <v>85</v>
      </c>
      <c r="G53" s="13">
        <f>AVERAGE($E$3:E53)</f>
        <v>103394.79997847955</v>
      </c>
      <c r="H53" s="13">
        <f>E53*'Ranges and Data'!$A$5</f>
        <v>3945515.416836387</v>
      </c>
      <c r="I53" s="12">
        <f>E53*'Ranges and Data'!$A$4</f>
        <v>17754.819375763742</v>
      </c>
      <c r="J53" s="10">
        <f aca="true" t="shared" si="17" ref="J53:J76">M52</f>
        <v>2922076.419486057</v>
      </c>
      <c r="K53" s="10">
        <f>J53*Questions!$B$10</f>
        <v>204545.349364024</v>
      </c>
      <c r="L53" s="10">
        <f>$I53*Questions!$B$10/2</f>
        <v>621.418678151731</v>
      </c>
      <c r="M53" s="10">
        <f aca="true" t="shared" si="18" ref="M53:M76">SUM(J53:L53)+$I53</f>
        <v>3144998.0069039967</v>
      </c>
      <c r="N53" s="11">
        <f t="shared" si="3"/>
        <v>800517.4099323903</v>
      </c>
      <c r="O53" s="12">
        <f aca="true" t="shared" si="19" ref="O53:O76">R52</f>
        <v>24652656.601509716</v>
      </c>
      <c r="P53" s="12">
        <f>O53*'Ranges and Data'!$A$1</f>
        <v>3229498.0147977727</v>
      </c>
      <c r="Q53" s="12">
        <f>$I53*'Ranges and Data'!$A$1/2</f>
        <v>1162.940669112525</v>
      </c>
      <c r="R53" s="12">
        <f aca="true" t="shared" si="20" ref="R53:R76">SUM(O53:Q53)+$I53</f>
        <v>27901072.376352366</v>
      </c>
      <c r="S53" s="138">
        <f t="shared" si="5"/>
        <v>-23955556.959515978</v>
      </c>
    </row>
    <row r="54" spans="1:19" s="4" customFormat="1" ht="12.75">
      <c r="A54" s="124" t="str">
        <f t="shared" si="13"/>
        <v>CIH Goal</v>
      </c>
      <c r="B54" s="125">
        <v>52</v>
      </c>
      <c r="C54" s="124">
        <f t="shared" si="1"/>
      </c>
      <c r="D54" s="129">
        <v>52</v>
      </c>
      <c r="E54" s="12">
        <f>E53*(1+'Ranges and Data'!$A$3)</f>
        <v>203194.04396707393</v>
      </c>
      <c r="F54" s="121">
        <f t="shared" si="16"/>
        <v>86</v>
      </c>
      <c r="G54" s="13">
        <f>AVERAGE($E$3:E54)</f>
        <v>105314.01620902945</v>
      </c>
      <c r="H54" s="13">
        <f>E54*'Ranges and Data'!$A$5</f>
        <v>4063880.8793414785</v>
      </c>
      <c r="I54" s="12">
        <f>E54*'Ranges and Data'!$A$4</f>
        <v>18287.463957036653</v>
      </c>
      <c r="J54" s="10">
        <f t="shared" si="17"/>
        <v>3144998.0069039967</v>
      </c>
      <c r="K54" s="10">
        <f>J54*Questions!$B$10</f>
        <v>220149.8604832798</v>
      </c>
      <c r="L54" s="10">
        <f>$I54*Questions!$B$10/2</f>
        <v>640.061238496283</v>
      </c>
      <c r="M54" s="10">
        <f t="shared" si="18"/>
        <v>3384075.3925828096</v>
      </c>
      <c r="N54" s="11">
        <f t="shared" si="3"/>
        <v>679805.4867586689</v>
      </c>
      <c r="O54" s="12">
        <f t="shared" si="19"/>
        <v>27901072.376352366</v>
      </c>
      <c r="P54" s="12">
        <f>O54*'Ranges and Data'!$A$1</f>
        <v>3655040.4813021603</v>
      </c>
      <c r="Q54" s="12">
        <f>$I54*'Ranges and Data'!$A$1/2</f>
        <v>1197.8288891859008</v>
      </c>
      <c r="R54" s="12">
        <f t="shared" si="20"/>
        <v>31575598.150500752</v>
      </c>
      <c r="S54" s="138">
        <f t="shared" si="5"/>
        <v>-27511717.271159273</v>
      </c>
    </row>
    <row r="55" spans="1:19" s="4" customFormat="1" ht="12.75">
      <c r="A55" s="124" t="str">
        <f t="shared" si="13"/>
        <v>CIH Goal</v>
      </c>
      <c r="B55" s="125">
        <v>53</v>
      </c>
      <c r="C55" s="124">
        <f t="shared" si="1"/>
      </c>
      <c r="D55" s="129">
        <v>53</v>
      </c>
      <c r="E55" s="12">
        <f>E54*(1+'Ranges and Data'!$A$3)</f>
        <v>209289.86528608616</v>
      </c>
      <c r="F55" s="121">
        <f t="shared" si="16"/>
        <v>87</v>
      </c>
      <c r="G55" s="13">
        <f>AVERAGE($E$3:E55)</f>
        <v>107275.82468218145</v>
      </c>
      <c r="H55" s="13">
        <f>E55*'Ranges and Data'!$A$5</f>
        <v>4185797.3057217235</v>
      </c>
      <c r="I55" s="12">
        <f>E55*'Ranges and Data'!$A$4</f>
        <v>18836.087875747755</v>
      </c>
      <c r="J55" s="10">
        <f t="shared" si="17"/>
        <v>3384075.3925828096</v>
      </c>
      <c r="K55" s="10">
        <f>J55*Questions!$B$10</f>
        <v>236885.27748079668</v>
      </c>
      <c r="L55" s="10">
        <f>$I55*Questions!$B$10/2</f>
        <v>659.2630756511714</v>
      </c>
      <c r="M55" s="10">
        <f t="shared" si="18"/>
        <v>3640456.021015005</v>
      </c>
      <c r="N55" s="11">
        <f t="shared" si="3"/>
        <v>545341.2847067183</v>
      </c>
      <c r="O55" s="12">
        <f t="shared" si="19"/>
        <v>31575598.150500752</v>
      </c>
      <c r="P55" s="12">
        <f>O55*'Ranges and Data'!$A$1</f>
        <v>4136403.357715599</v>
      </c>
      <c r="Q55" s="12">
        <f>$I55*'Ranges and Data'!$A$1/2</f>
        <v>1233.763755861478</v>
      </c>
      <c r="R55" s="12">
        <f t="shared" si="20"/>
        <v>35732071.359847955</v>
      </c>
      <c r="S55" s="138">
        <f t="shared" si="5"/>
        <v>-31546274.054126233</v>
      </c>
    </row>
    <row r="56" spans="1:19" s="4" customFormat="1" ht="12.75">
      <c r="A56" s="124" t="str">
        <f t="shared" si="13"/>
        <v>CIH Goal</v>
      </c>
      <c r="B56" s="125">
        <v>54</v>
      </c>
      <c r="C56" s="124">
        <f t="shared" si="1"/>
      </c>
      <c r="D56" s="129">
        <v>54</v>
      </c>
      <c r="E56" s="12">
        <f>E55*(1+'Ranges and Data'!$A$3)</f>
        <v>215568.56124466876</v>
      </c>
      <c r="F56" s="121">
        <f t="shared" si="16"/>
        <v>88</v>
      </c>
      <c r="G56" s="13">
        <f>AVERAGE($E$3:E56)</f>
        <v>109281.24572963492</v>
      </c>
      <c r="H56" s="13">
        <f>E56*'Ranges and Data'!$A$5</f>
        <v>4311371.224893375</v>
      </c>
      <c r="I56" s="12">
        <f>E56*'Ranges and Data'!$A$4</f>
        <v>19401.170512020188</v>
      </c>
      <c r="J56" s="10">
        <f t="shared" si="17"/>
        <v>3640456.021015005</v>
      </c>
      <c r="K56" s="10">
        <f>J56*Questions!$B$10</f>
        <v>254831.9214710504</v>
      </c>
      <c r="L56" s="10">
        <f>$I56*Questions!$B$10/2</f>
        <v>679.0409679207066</v>
      </c>
      <c r="M56" s="10">
        <f t="shared" si="18"/>
        <v>3915368.1539659966</v>
      </c>
      <c r="N56" s="11">
        <f t="shared" si="3"/>
        <v>396003.0709273787</v>
      </c>
      <c r="O56" s="12">
        <f t="shared" si="19"/>
        <v>35732071.359847955</v>
      </c>
      <c r="P56" s="12">
        <f>O56*'Ranges and Data'!$A$1</f>
        <v>4680901.348140082</v>
      </c>
      <c r="Q56" s="12">
        <f>$I56*'Ranges and Data'!$A$1/2</f>
        <v>1270.7766685373224</v>
      </c>
      <c r="R56" s="12">
        <f t="shared" si="20"/>
        <v>40433644.65516859</v>
      </c>
      <c r="S56" s="138">
        <f t="shared" si="5"/>
        <v>-36122273.43027522</v>
      </c>
    </row>
    <row r="57" spans="1:19" s="4" customFormat="1" ht="12.75">
      <c r="A57" s="124" t="str">
        <f t="shared" si="13"/>
        <v>CIH Goal</v>
      </c>
      <c r="B57" s="125">
        <v>55</v>
      </c>
      <c r="C57" s="124">
        <f t="shared" si="1"/>
      </c>
      <c r="D57" s="129">
        <v>55</v>
      </c>
      <c r="E57" s="12">
        <f>E56*(1+'Ranges and Data'!$A$3)</f>
        <v>222035.61808200882</v>
      </c>
      <c r="F57" s="121">
        <f t="shared" si="16"/>
        <v>89</v>
      </c>
      <c r="G57" s="13">
        <f>AVERAGE($E$3:E57)</f>
        <v>111331.32522695081</v>
      </c>
      <c r="H57" s="13">
        <f>E57*'Ranges and Data'!$A$5</f>
        <v>4440712.361640177</v>
      </c>
      <c r="I57" s="12">
        <f>E57*'Ranges and Data'!$A$4</f>
        <v>19983.205627380794</v>
      </c>
      <c r="J57" s="10">
        <f t="shared" si="17"/>
        <v>3915368.1539659966</v>
      </c>
      <c r="K57" s="10">
        <f>J57*Questions!$B$10</f>
        <v>274075.7707776198</v>
      </c>
      <c r="L57" s="10">
        <f>$I57*Questions!$B$10/2</f>
        <v>699.4121969583279</v>
      </c>
      <c r="M57" s="10">
        <f t="shared" si="18"/>
        <v>4210126.542567955</v>
      </c>
      <c r="N57" s="11">
        <f t="shared" si="3"/>
        <v>230585.8190722214</v>
      </c>
      <c r="O57" s="12">
        <f t="shared" si="19"/>
        <v>40433644.65516859</v>
      </c>
      <c r="P57" s="12">
        <f>O57*'Ranges and Data'!$A$1</f>
        <v>5296807.449827086</v>
      </c>
      <c r="Q57" s="12">
        <f>$I57*'Ranges and Data'!$A$1/2</f>
        <v>1308.899968593442</v>
      </c>
      <c r="R57" s="12">
        <f t="shared" si="20"/>
        <v>45751744.21059166</v>
      </c>
      <c r="S57" s="138">
        <f t="shared" si="5"/>
        <v>-41311031.84895148</v>
      </c>
    </row>
    <row r="58" spans="1:19" s="4" customFormat="1" ht="12.75">
      <c r="A58" s="124" t="str">
        <f t="shared" si="13"/>
        <v>CIH Goal</v>
      </c>
      <c r="B58" s="125">
        <v>56</v>
      </c>
      <c r="C58" s="124">
        <f t="shared" si="1"/>
      </c>
      <c r="D58" s="129">
        <v>56</v>
      </c>
      <c r="E58" s="12">
        <f>E57*(1+'Ranges and Data'!$A$3)</f>
        <v>228696.6866244691</v>
      </c>
      <c r="F58" s="121">
        <f t="shared" si="16"/>
        <v>90</v>
      </c>
      <c r="G58" s="13">
        <f>AVERAGE($E$3:E58)</f>
        <v>113427.1352519065</v>
      </c>
      <c r="H58" s="13">
        <f>E58*'Ranges and Data'!$A$5</f>
        <v>4573933.732489382</v>
      </c>
      <c r="I58" s="12">
        <f>E58*'Ranges and Data'!$A$4</f>
        <v>20582.70179620222</v>
      </c>
      <c r="J58" s="10">
        <f t="shared" si="17"/>
        <v>4210126.542567955</v>
      </c>
      <c r="K58" s="10">
        <f>J58*Questions!$B$10</f>
        <v>294708.8579797569</v>
      </c>
      <c r="L58" s="10">
        <f>$I58*Questions!$B$10/2</f>
        <v>720.3945628670778</v>
      </c>
      <c r="M58" s="10">
        <f t="shared" si="18"/>
        <v>4526138.496906782</v>
      </c>
      <c r="N58" s="11">
        <f t="shared" si="3"/>
        <v>47795.23558260035</v>
      </c>
      <c r="O58" s="12">
        <f t="shared" si="19"/>
        <v>45751744.21059166</v>
      </c>
      <c r="P58" s="12">
        <f>O58*'Ranges and Data'!$A$1</f>
        <v>5993478.491587508</v>
      </c>
      <c r="Q58" s="12">
        <f>$I58*'Ranges and Data'!$A$1/2</f>
        <v>1348.1669676512454</v>
      </c>
      <c r="R58" s="12">
        <f t="shared" si="20"/>
        <v>51767153.57094302</v>
      </c>
      <c r="S58" s="138">
        <f t="shared" si="5"/>
        <v>-47193219.838453636</v>
      </c>
    </row>
    <row r="59" spans="1:19" s="4" customFormat="1" ht="12.75">
      <c r="A59" s="124" t="str">
        <f t="shared" si="13"/>
        <v>CIH Goal</v>
      </c>
      <c r="B59" s="125">
        <v>57</v>
      </c>
      <c r="C59" s="124" t="str">
        <f t="shared" si="1"/>
        <v>AAR Goal</v>
      </c>
      <c r="D59" s="129">
        <v>57</v>
      </c>
      <c r="E59" s="12">
        <f>E58*(1+'Ranges and Data'!$A$3)</f>
        <v>235557.58722320315</v>
      </c>
      <c r="F59" s="121">
        <f t="shared" si="16"/>
        <v>91</v>
      </c>
      <c r="G59" s="13">
        <f>AVERAGE($E$3:E59)</f>
        <v>115569.77476017486</v>
      </c>
      <c r="H59" s="13">
        <f>E59*'Ranges and Data'!$A$5</f>
        <v>4711151.744464063</v>
      </c>
      <c r="I59" s="12">
        <f>E59*'Ranges and Data'!$A$4</f>
        <v>21200.182850088284</v>
      </c>
      <c r="J59" s="10">
        <f t="shared" si="17"/>
        <v>4526138.496906782</v>
      </c>
      <c r="K59" s="10">
        <f>J59*Questions!$B$10</f>
        <v>316829.6947834747</v>
      </c>
      <c r="L59" s="10">
        <f>$I59*Questions!$B$10/2</f>
        <v>742.00639975309</v>
      </c>
      <c r="M59" s="10">
        <f t="shared" si="18"/>
        <v>4864910.380940097</v>
      </c>
      <c r="N59" s="11">
        <f t="shared" si="3"/>
        <v>-153758.6364760343</v>
      </c>
      <c r="O59" s="12">
        <f t="shared" si="19"/>
        <v>51767153.57094302</v>
      </c>
      <c r="P59" s="12">
        <f>O59*'Ranges and Data'!$A$1</f>
        <v>6781497.117793536</v>
      </c>
      <c r="Q59" s="12">
        <f>$I59*'Ranges and Data'!$A$1/2</f>
        <v>1388.6119766807826</v>
      </c>
      <c r="R59" s="12">
        <f t="shared" si="20"/>
        <v>58571239.48356333</v>
      </c>
      <c r="S59" s="138">
        <f t="shared" si="5"/>
        <v>-53860087.739099264</v>
      </c>
    </row>
    <row r="60" spans="1:19" s="4" customFormat="1" ht="12.75">
      <c r="A60" s="124" t="str">
        <f t="shared" si="13"/>
        <v>CIH Goal</v>
      </c>
      <c r="B60" s="125">
        <v>58</v>
      </c>
      <c r="C60" s="124" t="str">
        <f t="shared" si="1"/>
        <v>AAR Goal</v>
      </c>
      <c r="D60" s="129">
        <v>58</v>
      </c>
      <c r="E60" s="12">
        <f>E59*(1+'Ranges and Data'!$A$3)</f>
        <v>242624.31483989925</v>
      </c>
      <c r="F60" s="121">
        <f t="shared" si="16"/>
        <v>92</v>
      </c>
      <c r="G60" s="13">
        <f>AVERAGE($E$3:E60)</f>
        <v>117760.3702787908</v>
      </c>
      <c r="H60" s="13">
        <f>E60*'Ranges and Data'!$A$5</f>
        <v>4852486.296797985</v>
      </c>
      <c r="I60" s="12">
        <f>E60*'Ranges and Data'!$A$4</f>
        <v>21836.18833559093</v>
      </c>
      <c r="J60" s="10">
        <f t="shared" si="17"/>
        <v>4864910.380940097</v>
      </c>
      <c r="K60" s="10">
        <f>J60*Questions!$B$10</f>
        <v>340543.72666580684</v>
      </c>
      <c r="L60" s="10">
        <f>$I60*Questions!$B$10/2</f>
        <v>764.2665917456826</v>
      </c>
      <c r="M60" s="10">
        <f t="shared" si="18"/>
        <v>5228054.562533241</v>
      </c>
      <c r="N60" s="11">
        <f t="shared" si="3"/>
        <v>-375568.26573525555</v>
      </c>
      <c r="O60" s="12">
        <f t="shared" si="19"/>
        <v>58571239.48356333</v>
      </c>
      <c r="P60" s="12">
        <f>O60*'Ranges and Data'!$A$1</f>
        <v>7672832.372346796</v>
      </c>
      <c r="Q60" s="12">
        <f>$I60*'Ranges and Data'!$A$1/2</f>
        <v>1430.270335981206</v>
      </c>
      <c r="R60" s="12">
        <f t="shared" si="20"/>
        <v>66267338.31458169</v>
      </c>
      <c r="S60" s="138">
        <f t="shared" si="5"/>
        <v>-61414852.01778371</v>
      </c>
    </row>
    <row r="61" spans="1:19" s="4" customFormat="1" ht="12.75">
      <c r="A61" s="124" t="str">
        <f t="shared" si="13"/>
        <v>CIH Goal</v>
      </c>
      <c r="B61" s="125">
        <v>59</v>
      </c>
      <c r="C61" s="124" t="str">
        <f t="shared" si="1"/>
        <v>AAR Goal</v>
      </c>
      <c r="D61" s="129">
        <v>59</v>
      </c>
      <c r="E61" s="12">
        <f>E60*(1+'Ranges and Data'!$A$3)</f>
        <v>249903.04428509623</v>
      </c>
      <c r="F61" s="121">
        <f t="shared" si="16"/>
        <v>93</v>
      </c>
      <c r="G61" s="13">
        <f>AVERAGE($E$3:E61)</f>
        <v>120000.07661788072</v>
      </c>
      <c r="H61" s="13">
        <f>E61*'Ranges and Data'!$A$5</f>
        <v>4998060.885701925</v>
      </c>
      <c r="I61" s="12">
        <f>E61*'Ranges and Data'!$A$4</f>
        <v>22491.27398565866</v>
      </c>
      <c r="J61" s="10">
        <f t="shared" si="17"/>
        <v>5228054.562533241</v>
      </c>
      <c r="K61" s="10">
        <f>J61*Questions!$B$10</f>
        <v>365963.8193773269</v>
      </c>
      <c r="L61" s="10">
        <f>$I61*Questions!$B$10/2</f>
        <v>787.1945894980531</v>
      </c>
      <c r="M61" s="10">
        <f t="shared" si="18"/>
        <v>5617296.850485725</v>
      </c>
      <c r="N61" s="11">
        <f t="shared" si="3"/>
        <v>-619235.9647838008</v>
      </c>
      <c r="O61" s="12">
        <f t="shared" si="19"/>
        <v>66267338.31458169</v>
      </c>
      <c r="P61" s="12">
        <f>O61*'Ranges and Data'!$A$1</f>
        <v>8681021.319210202</v>
      </c>
      <c r="Q61" s="12">
        <f>$I61*'Ranges and Data'!$A$1/2</f>
        <v>1473.1784460606423</v>
      </c>
      <c r="R61" s="12">
        <f t="shared" si="20"/>
        <v>74972324.0862236</v>
      </c>
      <c r="S61" s="138">
        <f t="shared" si="5"/>
        <v>-69974263.20052168</v>
      </c>
    </row>
    <row r="62" spans="1:19" s="4" customFormat="1" ht="12.75">
      <c r="A62" s="124" t="str">
        <f t="shared" si="13"/>
        <v>CIH Goal</v>
      </c>
      <c r="B62" s="125">
        <v>60</v>
      </c>
      <c r="C62" s="124" t="str">
        <f t="shared" si="1"/>
        <v>AAR Goal</v>
      </c>
      <c r="D62" s="129">
        <v>60</v>
      </c>
      <c r="E62" s="12">
        <f>E61*(1+'Ranges and Data'!$A$3)</f>
        <v>257400.13561364912</v>
      </c>
      <c r="F62" s="121">
        <f t="shared" si="16"/>
        <v>94</v>
      </c>
      <c r="G62" s="13">
        <f>AVERAGE($E$3:E62)</f>
        <v>122290.07760114354</v>
      </c>
      <c r="H62" s="13">
        <f>E62*'Ranges and Data'!$A$5</f>
        <v>5148002.712272982</v>
      </c>
      <c r="I62" s="12">
        <f>E62*'Ranges and Data'!$A$4</f>
        <v>23166.01220522842</v>
      </c>
      <c r="J62" s="10">
        <f t="shared" si="17"/>
        <v>5617296.850485725</v>
      </c>
      <c r="K62" s="10">
        <f>J62*Questions!$B$10</f>
        <v>393210.7795340008</v>
      </c>
      <c r="L62" s="10">
        <f>$I62*Questions!$B$10/2</f>
        <v>810.8104271829948</v>
      </c>
      <c r="M62" s="10">
        <f t="shared" si="18"/>
        <v>6034484.452652138</v>
      </c>
      <c r="N62" s="11">
        <f t="shared" si="3"/>
        <v>-886481.7403791556</v>
      </c>
      <c r="O62" s="12">
        <f t="shared" si="19"/>
        <v>74972324.0862236</v>
      </c>
      <c r="P62" s="12">
        <f>O62*'Ranges and Data'!$A$1</f>
        <v>9821374.455295293</v>
      </c>
      <c r="Q62" s="12">
        <f>$I62*'Ranges and Data'!$A$1/2</f>
        <v>1517.3737994424616</v>
      </c>
      <c r="R62" s="12">
        <f t="shared" si="20"/>
        <v>84818381.92752357</v>
      </c>
      <c r="S62" s="138">
        <f t="shared" si="5"/>
        <v>-79670379.21525058</v>
      </c>
    </row>
    <row r="63" spans="1:19" s="4" customFormat="1" ht="12.75">
      <c r="A63" s="124" t="str">
        <f t="shared" si="13"/>
        <v>CIH Goal</v>
      </c>
      <c r="B63" s="125">
        <v>61</v>
      </c>
      <c r="C63" s="124" t="str">
        <f t="shared" si="1"/>
        <v>AAR Goal</v>
      </c>
      <c r="D63" s="129">
        <v>61</v>
      </c>
      <c r="E63" s="12">
        <f>E62*(1+'Ranges and Data'!$A$3)</f>
        <v>265122.1396820586</v>
      </c>
      <c r="F63" s="121">
        <f t="shared" si="16"/>
        <v>95</v>
      </c>
      <c r="G63" s="13">
        <f>AVERAGE($E$3:E63)</f>
        <v>124631.58681558476</v>
      </c>
      <c r="H63" s="13">
        <f>E63*'Ranges and Data'!$A$5</f>
        <v>5302442.793641172</v>
      </c>
      <c r="I63" s="12">
        <f>E63*'Ranges and Data'!$A$4</f>
        <v>23860.99257138527</v>
      </c>
      <c r="J63" s="10">
        <f t="shared" si="17"/>
        <v>6034484.452652138</v>
      </c>
      <c r="K63" s="10">
        <f>J63*Questions!$B$10</f>
        <v>422413.91168564965</v>
      </c>
      <c r="L63" s="10">
        <f>$I63*Questions!$B$10/2</f>
        <v>835.1347399984846</v>
      </c>
      <c r="M63" s="10">
        <f t="shared" si="18"/>
        <v>6481594.491649171</v>
      </c>
      <c r="N63" s="11">
        <f t="shared" si="3"/>
        <v>-1179151.698007999</v>
      </c>
      <c r="O63" s="12">
        <f t="shared" si="19"/>
        <v>84818381.92752357</v>
      </c>
      <c r="P63" s="12">
        <f>O63*'Ranges and Data'!$A$1</f>
        <v>11111208.032505589</v>
      </c>
      <c r="Q63" s="12">
        <f>$I63*'Ranges and Data'!$A$1/2</f>
        <v>1562.8950134257354</v>
      </c>
      <c r="R63" s="12">
        <f t="shared" si="20"/>
        <v>95955013.84761396</v>
      </c>
      <c r="S63" s="138">
        <f t="shared" si="5"/>
        <v>-90652571.05397278</v>
      </c>
    </row>
    <row r="64" spans="1:19" s="4" customFormat="1" ht="12.75">
      <c r="A64" s="124" t="str">
        <f t="shared" si="13"/>
        <v>CIH Goal</v>
      </c>
      <c r="B64" s="125">
        <v>62</v>
      </c>
      <c r="C64" s="124" t="str">
        <f t="shared" si="1"/>
        <v>AAR Goal</v>
      </c>
      <c r="D64" s="129">
        <v>62</v>
      </c>
      <c r="E64" s="12">
        <f>E63*(1+'Ranges and Data'!$A$3)</f>
        <v>273075.80387252034</v>
      </c>
      <c r="F64" s="121">
        <f t="shared" si="16"/>
        <v>96</v>
      </c>
      <c r="G64" s="13">
        <f>AVERAGE($E$3:E64)</f>
        <v>127025.8483810192</v>
      </c>
      <c r="H64" s="13">
        <f>E64*'Ranges and Data'!$A$5</f>
        <v>5461516.077450407</v>
      </c>
      <c r="I64" s="12">
        <f>E64*'Ranges and Data'!$A$4</f>
        <v>24576.822348526828</v>
      </c>
      <c r="J64" s="10">
        <f t="shared" si="17"/>
        <v>6481594.491649171</v>
      </c>
      <c r="K64" s="10">
        <f>J64*Questions!$B$10</f>
        <v>453711.61441544205</v>
      </c>
      <c r="L64" s="10">
        <f>$I64*Questions!$B$10/2</f>
        <v>860.1887821984391</v>
      </c>
      <c r="M64" s="10">
        <f t="shared" si="18"/>
        <v>6960743.117195338</v>
      </c>
      <c r="N64" s="11">
        <f t="shared" si="3"/>
        <v>-1499227.0397449313</v>
      </c>
      <c r="O64" s="12">
        <f t="shared" si="19"/>
        <v>95955013.84761396</v>
      </c>
      <c r="P64" s="12">
        <f>O64*'Ranges and Data'!$A$1</f>
        <v>12570106.81403743</v>
      </c>
      <c r="Q64" s="12">
        <f>$I64*'Ranges and Data'!$A$1/2</f>
        <v>1609.7818638285073</v>
      </c>
      <c r="R64" s="12">
        <f t="shared" si="20"/>
        <v>108551307.26586373</v>
      </c>
      <c r="S64" s="138">
        <f t="shared" si="5"/>
        <v>-103089791.18841332</v>
      </c>
    </row>
    <row r="65" spans="1:19" s="4" customFormat="1" ht="12.75">
      <c r="A65" s="124" t="str">
        <f t="shared" si="13"/>
        <v>CIH Goal</v>
      </c>
      <c r="B65" s="125">
        <v>63</v>
      </c>
      <c r="C65" s="124" t="str">
        <f t="shared" si="1"/>
        <v>AAR Goal</v>
      </c>
      <c r="D65" s="129">
        <v>63</v>
      </c>
      <c r="E65" s="12">
        <f>E64*(1+'Ranges and Data'!$A$3)</f>
        <v>281268.07798869594</v>
      </c>
      <c r="F65" s="121">
        <f t="shared" si="16"/>
        <v>97</v>
      </c>
      <c r="G65" s="13">
        <f>AVERAGE($E$3:E65)</f>
        <v>129474.13773987122</v>
      </c>
      <c r="H65" s="13">
        <f>E65*'Ranges and Data'!$A$5</f>
        <v>5625361.559773918</v>
      </c>
      <c r="I65" s="12">
        <f>E65*'Ranges and Data'!$A$4</f>
        <v>25314.127018982632</v>
      </c>
      <c r="J65" s="10">
        <f t="shared" si="17"/>
        <v>6960743.117195338</v>
      </c>
      <c r="K65" s="10">
        <f>J65*Questions!$B$10</f>
        <v>487252.0182036737</v>
      </c>
      <c r="L65" s="10">
        <f>$I65*Questions!$B$10/2</f>
        <v>885.9944456643922</v>
      </c>
      <c r="M65" s="10">
        <f t="shared" si="18"/>
        <v>7474195.256863659</v>
      </c>
      <c r="N65" s="11">
        <f t="shared" si="3"/>
        <v>-1848833.697089741</v>
      </c>
      <c r="O65" s="12">
        <f t="shared" si="19"/>
        <v>108551307.26586373</v>
      </c>
      <c r="P65" s="12">
        <f>O65*'Ranges and Data'!$A$1</f>
        <v>14220221.251828149</v>
      </c>
      <c r="Q65" s="12">
        <f>$I65*'Ranges and Data'!$A$1/2</f>
        <v>1658.0753197433623</v>
      </c>
      <c r="R65" s="12">
        <f t="shared" si="20"/>
        <v>122798500.7200306</v>
      </c>
      <c r="S65" s="138">
        <f t="shared" si="5"/>
        <v>-117173139.16025668</v>
      </c>
    </row>
    <row r="66" spans="1:19" s="4" customFormat="1" ht="12.75">
      <c r="A66" s="124" t="str">
        <f t="shared" si="13"/>
        <v>CIH Goal</v>
      </c>
      <c r="B66" s="125">
        <v>64</v>
      </c>
      <c r="C66" s="124" t="str">
        <f t="shared" si="1"/>
        <v>AAR Goal</v>
      </c>
      <c r="D66" s="129">
        <v>64</v>
      </c>
      <c r="E66" s="12">
        <f>E65*(1+'Ranges and Data'!$A$3)</f>
        <v>289706.1203283568</v>
      </c>
      <c r="F66" s="121">
        <f t="shared" si="16"/>
        <v>98</v>
      </c>
      <c r="G66" s="13">
        <f>AVERAGE($E$3:E66)</f>
        <v>131977.7624678163</v>
      </c>
      <c r="H66" s="13">
        <f>E66*'Ranges and Data'!$A$5</f>
        <v>5794122.406567136</v>
      </c>
      <c r="I66" s="12">
        <f>E66*'Ranges and Data'!$A$4</f>
        <v>26073.55082955211</v>
      </c>
      <c r="J66" s="10">
        <f t="shared" si="17"/>
        <v>7474195.256863659</v>
      </c>
      <c r="K66" s="10">
        <f>J66*Questions!$B$10</f>
        <v>523193.6679804562</v>
      </c>
      <c r="L66" s="10">
        <f>$I66*Questions!$B$10/2</f>
        <v>912.5742790343239</v>
      </c>
      <c r="M66" s="10">
        <f t="shared" si="18"/>
        <v>8024375.049952702</v>
      </c>
      <c r="N66" s="11">
        <f t="shared" si="3"/>
        <v>-2230252.643385566</v>
      </c>
      <c r="O66" s="12">
        <f t="shared" si="19"/>
        <v>122798500.7200306</v>
      </c>
      <c r="P66" s="12">
        <f>O66*'Ranges and Data'!$A$1</f>
        <v>16086603.59432401</v>
      </c>
      <c r="Q66" s="12">
        <f>$I66*'Ranges and Data'!$A$1/2</f>
        <v>1707.8175793356634</v>
      </c>
      <c r="R66" s="12">
        <f t="shared" si="20"/>
        <v>138912885.68276352</v>
      </c>
      <c r="S66" s="138">
        <f t="shared" si="5"/>
        <v>-133118763.27619638</v>
      </c>
    </row>
    <row r="67" spans="1:19" s="4" customFormat="1" ht="12.75">
      <c r="A67" s="124" t="str">
        <f aca="true" t="shared" si="21" ref="A67:A79">IF(S67&lt;0,"CIH Goal","")</f>
        <v>CIH Goal</v>
      </c>
      <c r="B67" s="125">
        <v>65</v>
      </c>
      <c r="C67" s="124" t="str">
        <f t="shared" si="1"/>
        <v>AAR Goal</v>
      </c>
      <c r="D67" s="129">
        <v>65</v>
      </c>
      <c r="E67" s="12">
        <f>E66*(1+'Ranges and Data'!$A$3)</f>
        <v>298397.3039382075</v>
      </c>
      <c r="F67" s="121">
        <f t="shared" si="16"/>
        <v>99</v>
      </c>
      <c r="G67" s="13">
        <f>AVERAGE($E$3:E67)</f>
        <v>134538.06310582234</v>
      </c>
      <c r="H67" s="13">
        <f>E67*'Ranges and Data'!$A$5</f>
        <v>5967946.07876415</v>
      </c>
      <c r="I67" s="12">
        <f>E67*'Ranges and Data'!$A$4</f>
        <v>26855.757354438676</v>
      </c>
      <c r="J67" s="10">
        <f t="shared" si="17"/>
        <v>8024375.049952702</v>
      </c>
      <c r="K67" s="10">
        <f>J67*Questions!$B$10</f>
        <v>561706.2534966891</v>
      </c>
      <c r="L67" s="10">
        <f>$I67*Questions!$B$10/2</f>
        <v>939.9515074053537</v>
      </c>
      <c r="M67" s="10">
        <f t="shared" si="18"/>
        <v>8613877.012311233</v>
      </c>
      <c r="N67" s="11">
        <f t="shared" si="3"/>
        <v>-2645930.9335470833</v>
      </c>
      <c r="O67" s="12">
        <f t="shared" si="19"/>
        <v>138912885.68276352</v>
      </c>
      <c r="P67" s="12">
        <f>O67*'Ranges and Data'!$A$1</f>
        <v>18197588.02444202</v>
      </c>
      <c r="Q67" s="12">
        <f>$I67*'Ranges and Data'!$A$1/2</f>
        <v>1759.0521067157333</v>
      </c>
      <c r="R67" s="12">
        <f t="shared" si="20"/>
        <v>157139088.51666668</v>
      </c>
      <c r="S67" s="138">
        <f t="shared" si="5"/>
        <v>-151171142.43790254</v>
      </c>
    </row>
    <row r="68" spans="1:19" s="4" customFormat="1" ht="12.75">
      <c r="A68" s="124" t="str">
        <f t="shared" si="21"/>
        <v>CIH Goal</v>
      </c>
      <c r="B68" s="125">
        <v>66</v>
      </c>
      <c r="C68" s="124" t="str">
        <f aca="true" t="shared" si="22" ref="C68:C79">IF(N68&lt;0,"AAR Goal","")</f>
        <v>AAR Goal</v>
      </c>
      <c r="D68" s="129">
        <v>66</v>
      </c>
      <c r="E68" s="12">
        <f>E67*(1+'Ranges and Data'!$A$3)</f>
        <v>307349.22305635375</v>
      </c>
      <c r="F68" s="121">
        <f t="shared" si="16"/>
        <v>100</v>
      </c>
      <c r="G68" s="13">
        <f>AVERAGE($E$3:E68)</f>
        <v>137156.41401416372</v>
      </c>
      <c r="H68" s="13">
        <f>E68*'Ranges and Data'!$A$5</f>
        <v>6146984.461127074</v>
      </c>
      <c r="I68" s="12">
        <f>E68*'Ranges and Data'!$A$4</f>
        <v>27661.430075071836</v>
      </c>
      <c r="J68" s="10">
        <f t="shared" si="17"/>
        <v>8613877.012311233</v>
      </c>
      <c r="K68" s="10">
        <f>J68*Questions!$B$10</f>
        <v>602971.3908617864</v>
      </c>
      <c r="L68" s="10">
        <f>$I68*Questions!$B$10/2</f>
        <v>968.1500526275144</v>
      </c>
      <c r="M68" s="10">
        <f t="shared" si="18"/>
        <v>9245477.98330072</v>
      </c>
      <c r="N68" s="11">
        <f t="shared" si="3"/>
        <v>-3098493.522173645</v>
      </c>
      <c r="O68" s="12">
        <f t="shared" si="19"/>
        <v>157139088.51666668</v>
      </c>
      <c r="P68" s="12">
        <f>O68*'Ranges and Data'!$A$1</f>
        <v>20585220.595683336</v>
      </c>
      <c r="Q68" s="12">
        <f>$I68*'Ranges and Data'!$A$1/2</f>
        <v>1811.8236699172053</v>
      </c>
      <c r="R68" s="12">
        <f t="shared" si="20"/>
        <v>177753782.366095</v>
      </c>
      <c r="S68" s="138">
        <f t="shared" si="5"/>
        <v>-171606797.90496793</v>
      </c>
    </row>
    <row r="69" spans="1:19" s="4" customFormat="1" ht="12.75">
      <c r="A69" s="124" t="str">
        <f t="shared" si="21"/>
        <v>CIH Goal</v>
      </c>
      <c r="B69" s="125">
        <v>67</v>
      </c>
      <c r="C69" s="124" t="str">
        <f t="shared" si="22"/>
        <v>AAR Goal</v>
      </c>
      <c r="D69" s="129">
        <v>67</v>
      </c>
      <c r="E69" s="12">
        <f>E68*(1+'Ranges and Data'!$A$3)</f>
        <v>316569.69974804437</v>
      </c>
      <c r="F69" s="121">
        <f t="shared" si="16"/>
        <v>101</v>
      </c>
      <c r="G69" s="13">
        <f>AVERAGE($E$3:E69)</f>
        <v>139834.22424899775</v>
      </c>
      <c r="H69" s="13">
        <f>E69*'Ranges and Data'!$A$5</f>
        <v>6331393.994960887</v>
      </c>
      <c r="I69" s="12">
        <f>E69*'Ranges and Data'!$A$4</f>
        <v>28491.27297732399</v>
      </c>
      <c r="J69" s="10">
        <f t="shared" si="17"/>
        <v>9245477.98330072</v>
      </c>
      <c r="K69" s="10">
        <f>J69*Questions!$B$10</f>
        <v>647183.4588310504</v>
      </c>
      <c r="L69" s="10">
        <f>$I69*Questions!$B$10/2</f>
        <v>997.1945542063398</v>
      </c>
      <c r="M69" s="10">
        <f t="shared" si="18"/>
        <v>9922149.9096633</v>
      </c>
      <c r="N69" s="11">
        <f t="shared" si="3"/>
        <v>-3590755.9147024117</v>
      </c>
      <c r="O69" s="12">
        <f t="shared" si="19"/>
        <v>177753782.366095</v>
      </c>
      <c r="P69" s="12">
        <f>O69*'Ranges and Data'!$A$1</f>
        <v>23285745.489958446</v>
      </c>
      <c r="Q69" s="12">
        <f>$I69*'Ranges and Data'!$A$1/2</f>
        <v>1866.1783800147216</v>
      </c>
      <c r="R69" s="12">
        <f t="shared" si="20"/>
        <v>201069885.30741078</v>
      </c>
      <c r="S69" s="138">
        <f t="shared" si="5"/>
        <v>-194738491.3124499</v>
      </c>
    </row>
    <row r="70" spans="1:19" s="4" customFormat="1" ht="12.75">
      <c r="A70" s="124" t="str">
        <f t="shared" si="21"/>
        <v>CIH Goal</v>
      </c>
      <c r="B70" s="125">
        <v>68</v>
      </c>
      <c r="C70" s="124" t="str">
        <f t="shared" si="22"/>
        <v>AAR Goal</v>
      </c>
      <c r="D70" s="129">
        <v>68</v>
      </c>
      <c r="E70" s="12">
        <f>E69*(1+'Ranges and Data'!$A$3)</f>
        <v>326066.7907404857</v>
      </c>
      <c r="F70" s="121">
        <f t="shared" si="16"/>
        <v>102</v>
      </c>
      <c r="G70" s="13">
        <f>AVERAGE($E$3:E70)</f>
        <v>142572.93846210788</v>
      </c>
      <c r="H70" s="13">
        <f>E70*'Ranges and Data'!$A$5</f>
        <v>6521335.814809714</v>
      </c>
      <c r="I70" s="12">
        <f>E70*'Ranges and Data'!$A$4</f>
        <v>29346.01116664371</v>
      </c>
      <c r="J70" s="10">
        <f t="shared" si="17"/>
        <v>9922149.9096633</v>
      </c>
      <c r="K70" s="10">
        <f>J70*Questions!$B$10</f>
        <v>694550.493676431</v>
      </c>
      <c r="L70" s="10">
        <f>$I70*Questions!$B$10/2</f>
        <v>1027.11039083253</v>
      </c>
      <c r="M70" s="10">
        <f t="shared" si="18"/>
        <v>10647073.524897207</v>
      </c>
      <c r="N70" s="11">
        <f t="shared" si="3"/>
        <v>-4125737.710087492</v>
      </c>
      <c r="O70" s="12">
        <f t="shared" si="19"/>
        <v>201069885.30741078</v>
      </c>
      <c r="P70" s="12">
        <f>O70*'Ranges and Data'!$A$1</f>
        <v>26340154.97527081</v>
      </c>
      <c r="Q70" s="12">
        <f>$I70*'Ranges and Data'!$A$1/2</f>
        <v>1922.1637314151633</v>
      </c>
      <c r="R70" s="12">
        <f t="shared" si="20"/>
        <v>227441308.45757964</v>
      </c>
      <c r="S70" s="138">
        <f t="shared" si="5"/>
        <v>-220919972.64276993</v>
      </c>
    </row>
    <row r="71" spans="1:19" s="4" customFormat="1" ht="12.75">
      <c r="A71" s="124" t="str">
        <f t="shared" si="21"/>
        <v>CIH Goal</v>
      </c>
      <c r="B71" s="125">
        <v>69</v>
      </c>
      <c r="C71" s="124" t="str">
        <f t="shared" si="22"/>
        <v>AAR Goal</v>
      </c>
      <c r="D71" s="129">
        <v>69</v>
      </c>
      <c r="E71" s="12">
        <f>E70*(1+'Ranges and Data'!$A$3)</f>
        <v>335848.7944627003</v>
      </c>
      <c r="F71" s="121">
        <f t="shared" si="16"/>
        <v>103</v>
      </c>
      <c r="G71" s="13">
        <f>AVERAGE($E$3:E71)</f>
        <v>145374.0378244353</v>
      </c>
      <c r="H71" s="13">
        <f>E71*'Ranges and Data'!$A$5</f>
        <v>6716975.889254007</v>
      </c>
      <c r="I71" s="12">
        <f>E71*'Ranges and Data'!$A$4</f>
        <v>30226.391501643026</v>
      </c>
      <c r="J71" s="10">
        <f t="shared" si="17"/>
        <v>10647073.524897207</v>
      </c>
      <c r="K71" s="10">
        <f>J71*Questions!$B$10</f>
        <v>745295.1467428046</v>
      </c>
      <c r="L71" s="10">
        <f>$I71*Questions!$B$10/2</f>
        <v>1057.923702557506</v>
      </c>
      <c r="M71" s="10">
        <f t="shared" si="18"/>
        <v>11423652.98684421</v>
      </c>
      <c r="N71" s="11">
        <f t="shared" si="3"/>
        <v>-4706677.097590203</v>
      </c>
      <c r="O71" s="12">
        <f t="shared" si="19"/>
        <v>227441308.45757964</v>
      </c>
      <c r="P71" s="12">
        <f>O71*'Ranges and Data'!$A$1</f>
        <v>29794811.407942936</v>
      </c>
      <c r="Q71" s="12">
        <f>$I71*'Ranges and Data'!$A$1/2</f>
        <v>1979.8286433576181</v>
      </c>
      <c r="R71" s="12">
        <f t="shared" si="20"/>
        <v>257268326.08566755</v>
      </c>
      <c r="S71" s="138">
        <f t="shared" si="5"/>
        <v>-250551350.19641355</v>
      </c>
    </row>
    <row r="72" spans="1:19" s="4" customFormat="1" ht="12.75">
      <c r="A72" s="124" t="str">
        <f t="shared" si="21"/>
        <v>CIH Goal</v>
      </c>
      <c r="B72" s="125">
        <v>70</v>
      </c>
      <c r="C72" s="124" t="str">
        <f t="shared" si="22"/>
        <v>AAR Goal</v>
      </c>
      <c r="D72" s="129">
        <v>70</v>
      </c>
      <c r="E72" s="12">
        <f>E71*(1+'Ranges and Data'!$A$3)</f>
        <v>345924.25829658133</v>
      </c>
      <c r="F72" s="121">
        <f t="shared" si="16"/>
        <v>104</v>
      </c>
      <c r="G72" s="13">
        <f>AVERAGE($E$3:E72)</f>
        <v>148239.04097403737</v>
      </c>
      <c r="H72" s="13">
        <f>E72*'Ranges and Data'!$A$5</f>
        <v>6918485.165931627</v>
      </c>
      <c r="I72" s="12">
        <f>E72*'Ranges and Data'!$A$4</f>
        <v>31133.18324669232</v>
      </c>
      <c r="J72" s="10">
        <f t="shared" si="17"/>
        <v>11423652.98684421</v>
      </c>
      <c r="K72" s="10">
        <f>J72*Questions!$B$10</f>
        <v>799655.7090790948</v>
      </c>
      <c r="L72" s="10">
        <f>$I72*Questions!$B$10/2</f>
        <v>1089.6614136342312</v>
      </c>
      <c r="M72" s="10">
        <f t="shared" si="18"/>
        <v>12255531.540583631</v>
      </c>
      <c r="N72" s="11">
        <f t="shared" si="3"/>
        <v>-5337046.374652004</v>
      </c>
      <c r="O72" s="12">
        <f t="shared" si="19"/>
        <v>257268326.08566755</v>
      </c>
      <c r="P72" s="12">
        <f>O72*'Ranges and Data'!$A$1</f>
        <v>33702150.71722245</v>
      </c>
      <c r="Q72" s="12">
        <f>$I72*'Ranges and Data'!$A$1/2</f>
        <v>2039.223502658347</v>
      </c>
      <c r="R72" s="12">
        <f t="shared" si="20"/>
        <v>291003649.2096393</v>
      </c>
      <c r="S72" s="138">
        <f t="shared" si="5"/>
        <v>-284085164.04370767</v>
      </c>
    </row>
    <row r="73" spans="1:19" s="4" customFormat="1" ht="12.75">
      <c r="A73" s="124" t="str">
        <f t="shared" si="21"/>
        <v>CIH Goal</v>
      </c>
      <c r="B73" s="125">
        <v>71</v>
      </c>
      <c r="C73" s="124" t="str">
        <f t="shared" si="22"/>
        <v>AAR Goal</v>
      </c>
      <c r="D73" s="129">
        <v>71</v>
      </c>
      <c r="E73" s="12">
        <f>E72*(1+'Ranges and Data'!$A$3)</f>
        <v>356301.9860454788</v>
      </c>
      <c r="F73" s="121">
        <f t="shared" si="16"/>
        <v>105</v>
      </c>
      <c r="G73" s="13">
        <f>AVERAGE($E$3:E73)</f>
        <v>151169.5049891281</v>
      </c>
      <c r="H73" s="13">
        <f>E73*'Ranges and Data'!$A$5</f>
        <v>7126039.720909576</v>
      </c>
      <c r="I73" s="12">
        <f>E73*'Ranges and Data'!$A$4</f>
        <v>32067.17874409309</v>
      </c>
      <c r="J73" s="10">
        <f t="shared" si="17"/>
        <v>12255531.540583631</v>
      </c>
      <c r="K73" s="10">
        <f>J73*Questions!$B$10</f>
        <v>857887.2078408543</v>
      </c>
      <c r="L73" s="10">
        <f>$I73*Questions!$B$10/2</f>
        <v>1122.3512560432582</v>
      </c>
      <c r="M73" s="10">
        <f t="shared" si="18"/>
        <v>13146608.27842462</v>
      </c>
      <c r="N73" s="11">
        <f t="shared" si="3"/>
        <v>-6020568.557515045</v>
      </c>
      <c r="O73" s="12">
        <f t="shared" si="19"/>
        <v>291003649.2096393</v>
      </c>
      <c r="P73" s="12">
        <f>O73*'Ranges and Data'!$A$1</f>
        <v>38121478.04646275</v>
      </c>
      <c r="Q73" s="12">
        <f>$I73*'Ranges and Data'!$A$1/2</f>
        <v>2100.4002077380974</v>
      </c>
      <c r="R73" s="12">
        <f t="shared" si="20"/>
        <v>329159294.8350539</v>
      </c>
      <c r="S73" s="138">
        <f t="shared" si="5"/>
        <v>-322033255.1141443</v>
      </c>
    </row>
    <row r="74" spans="1:19" s="4" customFormat="1" ht="12.75">
      <c r="A74" s="124" t="str">
        <f t="shared" si="21"/>
        <v>CIH Goal</v>
      </c>
      <c r="B74" s="125">
        <v>72</v>
      </c>
      <c r="C74" s="124" t="str">
        <f t="shared" si="22"/>
        <v>AAR Goal</v>
      </c>
      <c r="D74" s="129">
        <v>72</v>
      </c>
      <c r="E74" s="12">
        <f>E73*(1+'Ranges and Data'!$A$3)</f>
        <v>366991.0456268432</v>
      </c>
      <c r="F74" s="121">
        <f t="shared" si="16"/>
        <v>106</v>
      </c>
      <c r="G74" s="13">
        <f>AVERAGE($E$3:E74)</f>
        <v>154167.02638687415</v>
      </c>
      <c r="H74" s="13">
        <f>E74*'Ranges and Data'!$A$5</f>
        <v>7339820.912536863</v>
      </c>
      <c r="I74" s="12">
        <f>E74*'Ranges and Data'!$A$4</f>
        <v>33029.19410641588</v>
      </c>
      <c r="J74" s="10">
        <f t="shared" si="17"/>
        <v>13146608.27842462</v>
      </c>
      <c r="K74" s="10">
        <f>J74*Questions!$B$10</f>
        <v>920262.5794897235</v>
      </c>
      <c r="L74" s="10">
        <f>$I74*Questions!$B$10/2</f>
        <v>1156.021793724556</v>
      </c>
      <c r="M74" s="10">
        <f t="shared" si="18"/>
        <v>14101056.073814485</v>
      </c>
      <c r="N74" s="11">
        <f t="shared" si="3"/>
        <v>-6761235.161277622</v>
      </c>
      <c r="O74" s="12">
        <f t="shared" si="19"/>
        <v>329159294.8350539</v>
      </c>
      <c r="P74" s="12">
        <f>O74*'Ranges and Data'!$A$1</f>
        <v>43119867.62339207</v>
      </c>
      <c r="Q74" s="12">
        <f>$I74*'Ranges and Data'!$A$1/2</f>
        <v>2163.4122139702404</v>
      </c>
      <c r="R74" s="12">
        <f t="shared" si="20"/>
        <v>372314355.06476635</v>
      </c>
      <c r="S74" s="138">
        <f t="shared" si="5"/>
        <v>-364974534.1522295</v>
      </c>
    </row>
    <row r="75" spans="1:19" s="4" customFormat="1" ht="12.75">
      <c r="A75" s="124" t="str">
        <f t="shared" si="21"/>
        <v>CIH Goal</v>
      </c>
      <c r="B75" s="125">
        <v>73</v>
      </c>
      <c r="C75" s="124" t="str">
        <f t="shared" si="22"/>
        <v>AAR Goal</v>
      </c>
      <c r="D75" s="129">
        <v>73</v>
      </c>
      <c r="E75" s="12">
        <f>E74*(1+'Ranges and Data'!$A$3)</f>
        <v>378000.77699564846</v>
      </c>
      <c r="F75" s="121">
        <f t="shared" si="16"/>
        <v>107</v>
      </c>
      <c r="G75" s="13">
        <f>AVERAGE($E$3:E75)</f>
        <v>157233.24214863815</v>
      </c>
      <c r="H75" s="13">
        <f>E75*'Ranges and Data'!$A$5</f>
        <v>7560015.539912969</v>
      </c>
      <c r="I75" s="12">
        <f>E75*'Ranges and Data'!$A$4</f>
        <v>34020.06992960836</v>
      </c>
      <c r="J75" s="10">
        <f t="shared" si="17"/>
        <v>14101056.073814485</v>
      </c>
      <c r="K75" s="10">
        <f>J75*Questions!$B$10</f>
        <v>987073.925167014</v>
      </c>
      <c r="L75" s="10">
        <f>$I75*Questions!$B$10/2</f>
        <v>1190.7024475362928</v>
      </c>
      <c r="M75" s="10">
        <f t="shared" si="18"/>
        <v>15123340.771358645</v>
      </c>
      <c r="N75" s="11">
        <f t="shared" si="3"/>
        <v>-7563325.231445676</v>
      </c>
      <c r="O75" s="12">
        <f t="shared" si="19"/>
        <v>372314355.06476635</v>
      </c>
      <c r="P75" s="12">
        <f>O75*'Ranges and Data'!$A$1</f>
        <v>48773180.513484396</v>
      </c>
      <c r="Q75" s="12">
        <f>$I75*'Ranges and Data'!$A$1/2</f>
        <v>2228.3145803893476</v>
      </c>
      <c r="R75" s="12">
        <f t="shared" si="20"/>
        <v>421123783.96276075</v>
      </c>
      <c r="S75" s="138">
        <f t="shared" si="5"/>
        <v>-413563768.42284775</v>
      </c>
    </row>
    <row r="76" spans="1:19" s="4" customFormat="1" ht="12.75">
      <c r="A76" s="124" t="str">
        <f t="shared" si="21"/>
        <v>CIH Goal</v>
      </c>
      <c r="B76" s="125">
        <v>74</v>
      </c>
      <c r="C76" s="124" t="str">
        <f t="shared" si="22"/>
        <v>AAR Goal</v>
      </c>
      <c r="D76" s="129">
        <v>74</v>
      </c>
      <c r="E76" s="12">
        <f>E75*(1+'Ranges and Data'!$A$3)</f>
        <v>389340.8003055179</v>
      </c>
      <c r="F76" s="121">
        <f t="shared" si="16"/>
        <v>108</v>
      </c>
      <c r="G76" s="13">
        <f>AVERAGE($E$3:E76)</f>
        <v>160369.83077237976</v>
      </c>
      <c r="H76" s="13">
        <f>E76*'Ranges and Data'!$A$5</f>
        <v>7786816.006110358</v>
      </c>
      <c r="I76" s="12">
        <f>E76*'Ranges and Data'!$A$4</f>
        <v>35040.672027496614</v>
      </c>
      <c r="J76" s="10">
        <f t="shared" si="17"/>
        <v>15123340.771358645</v>
      </c>
      <c r="K76" s="10">
        <f>J76*Questions!$B$10</f>
        <v>1058633.8539951053</v>
      </c>
      <c r="L76" s="10">
        <f>$I76*Questions!$B$10/2</f>
        <v>1226.4235209623816</v>
      </c>
      <c r="M76" s="10">
        <f t="shared" si="18"/>
        <v>16218241.720902208</v>
      </c>
      <c r="N76" s="11">
        <f t="shared" si="3"/>
        <v>-8431425.71479185</v>
      </c>
      <c r="O76" s="12">
        <f t="shared" si="19"/>
        <v>421123783.96276075</v>
      </c>
      <c r="P76" s="12">
        <f>O76*'Ranges and Data'!$A$1</f>
        <v>55167215.69912166</v>
      </c>
      <c r="Q76" s="12">
        <f>$I76*'Ranges and Data'!$A$1/2</f>
        <v>2295.1640178010284</v>
      </c>
      <c r="R76" s="12">
        <f t="shared" si="20"/>
        <v>476328335.49792767</v>
      </c>
      <c r="S76" s="138">
        <f t="shared" si="5"/>
        <v>-468541519.4918173</v>
      </c>
    </row>
    <row r="77" spans="1:19" s="4" customFormat="1" ht="12.75">
      <c r="A77" s="124" t="str">
        <f t="shared" si="21"/>
        <v>CIH Goal</v>
      </c>
      <c r="B77" s="125">
        <v>75</v>
      </c>
      <c r="C77" s="124" t="str">
        <f t="shared" si="22"/>
        <v>AAR Goal</v>
      </c>
      <c r="D77" s="129">
        <v>75</v>
      </c>
      <c r="E77" s="12">
        <f>E76*(1+'Ranges and Data'!$A$3)</f>
        <v>401021.02431468345</v>
      </c>
      <c r="F77" s="121">
        <f aca="true" t="shared" si="23" ref="F77:F84">F76+1</f>
        <v>109</v>
      </c>
      <c r="G77" s="13">
        <f>AVERAGE($E$3:E77)</f>
        <v>163578.51335294382</v>
      </c>
      <c r="H77" s="13">
        <f>E77*'Ranges and Data'!$A$5</f>
        <v>8020420.486293669</v>
      </c>
      <c r="I77" s="12">
        <f>E77*'Ranges and Data'!$A$4</f>
        <v>36091.89218832151</v>
      </c>
      <c r="J77" s="10">
        <f aca="true" t="shared" si="24" ref="J77:J84">M76</f>
        <v>16218241.720902208</v>
      </c>
      <c r="K77" s="10">
        <f>J77*Questions!$B$10</f>
        <v>1135276.9204631548</v>
      </c>
      <c r="L77" s="10">
        <f>$I77*Questions!$B$10/2</f>
        <v>1263.216226591253</v>
      </c>
      <c r="M77" s="10">
        <f aca="true" t="shared" si="25" ref="M77:M84">SUM(J77:L77)+$I77</f>
        <v>17390873.74978028</v>
      </c>
      <c r="N77" s="11">
        <f t="shared" si="3"/>
        <v>-9370453.263486609</v>
      </c>
      <c r="O77" s="12">
        <f aca="true" t="shared" si="26" ref="O77:O84">R76</f>
        <v>476328335.49792767</v>
      </c>
      <c r="P77" s="12">
        <f>O77*'Ranges and Data'!$A$1</f>
        <v>62399011.95022853</v>
      </c>
      <c r="Q77" s="12">
        <f>$I77*'Ranges and Data'!$A$1/2</f>
        <v>2364.018938335059</v>
      </c>
      <c r="R77" s="12">
        <f aca="true" t="shared" si="27" ref="R77:R84">SUM(O77:Q77)+$I77</f>
        <v>538765803.3592829</v>
      </c>
      <c r="S77" s="138">
        <f t="shared" si="5"/>
        <v>-530745382.8729892</v>
      </c>
    </row>
    <row r="78" spans="1:19" s="4" customFormat="1" ht="12.75">
      <c r="A78" s="124" t="str">
        <f t="shared" si="21"/>
        <v>CIH Goal</v>
      </c>
      <c r="B78" s="125">
        <v>76</v>
      </c>
      <c r="C78" s="124" t="str">
        <f t="shared" si="22"/>
        <v>AAR Goal</v>
      </c>
      <c r="D78" s="129">
        <v>76</v>
      </c>
      <c r="E78" s="12">
        <f>E77*(1+'Ranges and Data'!$A$3)</f>
        <v>413051.655044124</v>
      </c>
      <c r="F78" s="121">
        <f t="shared" si="23"/>
        <v>110</v>
      </c>
      <c r="G78" s="13">
        <f>AVERAGE($E$3:E78)</f>
        <v>166861.05469098565</v>
      </c>
      <c r="H78" s="13">
        <f>E78*'Ranges and Data'!$A$5</f>
        <v>8261033.10088248</v>
      </c>
      <c r="I78" s="12">
        <f>E78*'Ranges and Data'!$A$4</f>
        <v>37174.648953971155</v>
      </c>
      <c r="J78" s="10">
        <f t="shared" si="24"/>
        <v>17390873.74978028</v>
      </c>
      <c r="K78" s="10">
        <f>J78*Questions!$B$10</f>
        <v>1217361.1624846195</v>
      </c>
      <c r="L78" s="10">
        <f>$I78*Questions!$B$10/2</f>
        <v>1301.1127133889906</v>
      </c>
      <c r="M78" s="10">
        <f t="shared" si="25"/>
        <v>18646710.673932258</v>
      </c>
      <c r="N78" s="11">
        <f t="shared" si="3"/>
        <v>-10385677.573049778</v>
      </c>
      <c r="O78" s="12">
        <f t="shared" si="26"/>
        <v>538765803.3592829</v>
      </c>
      <c r="P78" s="12">
        <f>O78*'Ranges and Data'!$A$1</f>
        <v>70578320.24006605</v>
      </c>
      <c r="Q78" s="12">
        <f>$I78*'Ranges and Data'!$A$1/2</f>
        <v>2434.9395064851105</v>
      </c>
      <c r="R78" s="12">
        <f t="shared" si="27"/>
        <v>609383733.1878093</v>
      </c>
      <c r="S78" s="138">
        <f t="shared" si="5"/>
        <v>-601122700.0869268</v>
      </c>
    </row>
    <row r="79" spans="1:19" s="4" customFormat="1" ht="12.75">
      <c r="A79" s="124" t="str">
        <f t="shared" si="21"/>
        <v>CIH Goal</v>
      </c>
      <c r="B79" s="125">
        <v>77</v>
      </c>
      <c r="C79" s="124" t="str">
        <f t="shared" si="22"/>
        <v>AAR Goal</v>
      </c>
      <c r="D79" s="129">
        <v>77</v>
      </c>
      <c r="E79" s="12">
        <f>E78*(1+'Ranges and Data'!$A$3)</f>
        <v>425443.20469544776</v>
      </c>
      <c r="F79" s="121">
        <f t="shared" si="23"/>
        <v>111</v>
      </c>
      <c r="G79" s="13">
        <f>AVERAGE($E$3:E79)</f>
        <v>170219.26443130334</v>
      </c>
      <c r="H79" s="13">
        <f>E79*'Ranges and Data'!$A$5</f>
        <v>8508864.093908954</v>
      </c>
      <c r="I79" s="12">
        <f>E79*'Ranges and Data'!$A$4</f>
        <v>38289.888422590295</v>
      </c>
      <c r="J79" s="10">
        <f t="shared" si="24"/>
        <v>18646710.673932258</v>
      </c>
      <c r="K79" s="10">
        <f>J79*Questions!$B$10</f>
        <v>1305269.7471752581</v>
      </c>
      <c r="L79" s="10">
        <f>$I79*Questions!$B$10/2</f>
        <v>1340.1460947906605</v>
      </c>
      <c r="M79" s="10">
        <f t="shared" si="25"/>
        <v>19991610.455624897</v>
      </c>
      <c r="N79" s="11">
        <f t="shared" si="3"/>
        <v>-11482746.361715943</v>
      </c>
      <c r="O79" s="12">
        <f t="shared" si="26"/>
        <v>609383733.1878093</v>
      </c>
      <c r="P79" s="12">
        <f>O79*'Ranges and Data'!$A$1</f>
        <v>79829269.04760303</v>
      </c>
      <c r="Q79" s="12">
        <f>$I79*'Ranges and Data'!$A$1/2</f>
        <v>2507.9876916796643</v>
      </c>
      <c r="R79" s="12">
        <f t="shared" si="27"/>
        <v>689253800.1115266</v>
      </c>
      <c r="S79" s="138">
        <f t="shared" si="5"/>
        <v>-680744936.0176177</v>
      </c>
    </row>
    <row r="80" spans="1:19" ht="12.75">
      <c r="A80" s="124" t="str">
        <f>IF(S80&lt;0,"CIH Goal","")</f>
        <v>CIH Goal</v>
      </c>
      <c r="B80" s="125">
        <v>78</v>
      </c>
      <c r="C80" s="124" t="str">
        <f>IF(N80&lt;0,"AAR Goal","")</f>
        <v>AAR Goal</v>
      </c>
      <c r="D80" s="129">
        <v>78</v>
      </c>
      <c r="E80" s="12">
        <f>E79*(1+'Ranges and Data'!$A$3)</f>
        <v>438206.5008363112</v>
      </c>
      <c r="F80" s="121">
        <f t="shared" si="23"/>
        <v>112</v>
      </c>
      <c r="G80" s="13">
        <f>AVERAGE($E$3:E80)</f>
        <v>173654.99823136753</v>
      </c>
      <c r="H80" s="13">
        <f>E80*'Ranges and Data'!$A$5</f>
        <v>8764130.016726224</v>
      </c>
      <c r="I80" s="12">
        <f>E80*'Ranges and Data'!$A$4</f>
        <v>39438.585075268005</v>
      </c>
      <c r="J80" s="10">
        <f t="shared" si="24"/>
        <v>19991610.455624897</v>
      </c>
      <c r="K80" s="10">
        <f>J80*Questions!$B$10</f>
        <v>1399412.731893743</v>
      </c>
      <c r="L80" s="10">
        <f>$I80*Questions!$B$10/2</f>
        <v>1380.3504776343802</v>
      </c>
      <c r="M80" s="10">
        <f t="shared" si="25"/>
        <v>21431842.123071544</v>
      </c>
      <c r="N80" s="11">
        <f t="shared" si="3"/>
        <v>-12667712.10634532</v>
      </c>
      <c r="O80" s="12">
        <f t="shared" si="26"/>
        <v>689253800.1115266</v>
      </c>
      <c r="P80" s="12">
        <f>O80*'Ranges and Data'!$A$1</f>
        <v>90292247.81460999</v>
      </c>
      <c r="Q80" s="12">
        <f>$I80*'Ranges and Data'!$A$1/2</f>
        <v>2583.2273224300543</v>
      </c>
      <c r="R80" s="12">
        <f t="shared" si="27"/>
        <v>779588069.7385343</v>
      </c>
      <c r="S80" s="138">
        <f t="shared" si="5"/>
        <v>-770823939.7218081</v>
      </c>
    </row>
    <row r="81" spans="1:19" ht="12.75">
      <c r="A81" s="124" t="str">
        <f>IF(S81&lt;0,"CIH Goal","")</f>
        <v>CIH Goal</v>
      </c>
      <c r="B81" s="125">
        <v>79</v>
      </c>
      <c r="C81" s="124" t="str">
        <f>IF(N81&lt;0,"AAR Goal","")</f>
        <v>AAR Goal</v>
      </c>
      <c r="D81" s="129">
        <v>79</v>
      </c>
      <c r="E81" s="12">
        <f>E80*(1+'Ranges and Data'!$A$3)</f>
        <v>451352.69586140057</v>
      </c>
      <c r="F81" s="121">
        <f t="shared" si="23"/>
        <v>113</v>
      </c>
      <c r="G81" s="13">
        <f>AVERAGE($E$3:E81)</f>
        <v>177170.15896086165</v>
      </c>
      <c r="H81" s="13">
        <f>E81*'Ranges and Data'!$A$5</f>
        <v>9027053.917228011</v>
      </c>
      <c r="I81" s="12">
        <f>E81*'Ranges and Data'!$A$4</f>
        <v>40621.74262752605</v>
      </c>
      <c r="J81" s="10">
        <f t="shared" si="24"/>
        <v>21431842.123071544</v>
      </c>
      <c r="K81" s="10">
        <f>J81*Questions!$B$10</f>
        <v>1500228.9486150083</v>
      </c>
      <c r="L81" s="10">
        <f>$I81*Questions!$B$10/2</f>
        <v>1421.760991963412</v>
      </c>
      <c r="M81" s="10">
        <f t="shared" si="25"/>
        <v>22974114.575306043</v>
      </c>
      <c r="N81" s="11">
        <f>$H81-M81</f>
        <v>-13947060.658078032</v>
      </c>
      <c r="O81" s="12">
        <f t="shared" si="26"/>
        <v>779588069.7385343</v>
      </c>
      <c r="P81" s="12">
        <f>O81*'Ranges and Data'!$A$1</f>
        <v>102126037.135748</v>
      </c>
      <c r="Q81" s="12">
        <f>$I81*'Ranges and Data'!$A$1/2</f>
        <v>2660.7241421029566</v>
      </c>
      <c r="R81" s="12">
        <f t="shared" si="27"/>
        <v>881757389.3410519</v>
      </c>
      <c r="S81" s="138">
        <f>$H81-R81</f>
        <v>-872730335.423824</v>
      </c>
    </row>
    <row r="82" spans="1:19" ht="12.75">
      <c r="A82" s="124" t="str">
        <f>IF(S82&lt;0,"CIH Goal","")</f>
        <v>CIH Goal</v>
      </c>
      <c r="B82" s="125">
        <v>80</v>
      </c>
      <c r="C82" s="124" t="str">
        <f>IF(N82&lt;0,"AAR Goal","")</f>
        <v>AAR Goal</v>
      </c>
      <c r="D82" s="129">
        <v>80</v>
      </c>
      <c r="E82" s="12">
        <f>E81*(1+'Ranges and Data'!$A$3)</f>
        <v>464893.2767372426</v>
      </c>
      <c r="F82" s="121">
        <f t="shared" si="23"/>
        <v>114</v>
      </c>
      <c r="G82" s="13">
        <f>AVERAGE($E$3:E82)</f>
        <v>180766.6979330664</v>
      </c>
      <c r="H82" s="13">
        <f>E82*'Ranges and Data'!$A$5</f>
        <v>9297865.534744851</v>
      </c>
      <c r="I82" s="12">
        <f>E82*'Ranges and Data'!$A$4</f>
        <v>41840.39490635183</v>
      </c>
      <c r="J82" s="10">
        <f t="shared" si="24"/>
        <v>22974114.575306043</v>
      </c>
      <c r="K82" s="10">
        <f>J82*Questions!$B$10</f>
        <v>1608188.0202714233</v>
      </c>
      <c r="L82" s="10">
        <f>$I82*Questions!$B$10/2</f>
        <v>1464.4138217223142</v>
      </c>
      <c r="M82" s="10">
        <f t="shared" si="25"/>
        <v>24625607.404305544</v>
      </c>
      <c r="N82" s="11">
        <f>$H82-M82</f>
        <v>-15327741.869560692</v>
      </c>
      <c r="O82" s="12">
        <f t="shared" si="26"/>
        <v>881757389.3410519</v>
      </c>
      <c r="P82" s="12">
        <f>O82*'Ranges and Data'!$A$1</f>
        <v>115510218.00367782</v>
      </c>
      <c r="Q82" s="12">
        <f>$I82*'Ranges and Data'!$A$1/2</f>
        <v>2740.545866366045</v>
      </c>
      <c r="R82" s="12">
        <f t="shared" si="27"/>
        <v>997312188.2855026</v>
      </c>
      <c r="S82" s="138">
        <f>$H82-R82</f>
        <v>-988014322.7507577</v>
      </c>
    </row>
    <row r="83" spans="1:19" ht="12.75">
      <c r="A83" s="124" t="str">
        <f>IF(S83&lt;0,"CIH Goal","")</f>
        <v>CIH Goal</v>
      </c>
      <c r="B83" s="125">
        <v>81</v>
      </c>
      <c r="C83" s="124" t="str">
        <f>IF(N83&lt;0,"AAR Goal","")</f>
        <v>AAR Goal</v>
      </c>
      <c r="D83" s="129">
        <v>81</v>
      </c>
      <c r="E83" s="12">
        <f>E82*(1+'Ranges and Data'!$A$3)</f>
        <v>478840.07503935986</v>
      </c>
      <c r="F83" s="121">
        <f t="shared" si="23"/>
        <v>115</v>
      </c>
      <c r="G83" s="13">
        <f>AVERAGE($E$3:E83)</f>
        <v>184446.61616894658</v>
      </c>
      <c r="H83" s="13">
        <f>E83*'Ranges and Data'!$A$5</f>
        <v>9576801.500787197</v>
      </c>
      <c r="I83" s="12">
        <f>E83*'Ranges and Data'!$A$4</f>
        <v>43095.606753542386</v>
      </c>
      <c r="J83" s="10">
        <f t="shared" si="24"/>
        <v>24625607.404305544</v>
      </c>
      <c r="K83" s="10">
        <f>J83*Questions!$B$10</f>
        <v>1723792.5183013882</v>
      </c>
      <c r="L83" s="10">
        <f>$I83*Questions!$B$10/2</f>
        <v>1508.3462363739836</v>
      </c>
      <c r="M83" s="10">
        <f t="shared" si="25"/>
        <v>26394003.875596847</v>
      </c>
      <c r="N83" s="11">
        <f>$H83-M83</f>
        <v>-16817202.374809653</v>
      </c>
      <c r="O83" s="12">
        <f t="shared" si="26"/>
        <v>997312188.2855026</v>
      </c>
      <c r="P83" s="12">
        <f>O83*'Ranges and Data'!$A$1</f>
        <v>130647896.66540083</v>
      </c>
      <c r="Q83" s="12">
        <f>$I83*'Ranges and Data'!$A$1/2</f>
        <v>2822.7622423570265</v>
      </c>
      <c r="R83" s="12">
        <f t="shared" si="27"/>
        <v>1128006003.3198993</v>
      </c>
      <c r="S83" s="138">
        <f>$H83-R83</f>
        <v>-1118429201.819112</v>
      </c>
    </row>
    <row r="84" spans="1:19" ht="12.75">
      <c r="A84" s="124" t="str">
        <f>IF(S84&lt;0,"CIH Goal","")</f>
        <v>CIH Goal</v>
      </c>
      <c r="B84" s="125">
        <v>82</v>
      </c>
      <c r="C84" s="124" t="str">
        <f>IF(N84&lt;0,"AAR Goal","")</f>
        <v>AAR Goal</v>
      </c>
      <c r="D84" s="129">
        <v>82</v>
      </c>
      <c r="E84" s="12">
        <f>E83*(1+'Ranges and Data'!$A$3)</f>
        <v>493205.2772905407</v>
      </c>
      <c r="F84" s="121">
        <f t="shared" si="23"/>
        <v>116</v>
      </c>
      <c r="G84" s="13">
        <f>AVERAGE($E$3:E84)</f>
        <v>188211.96569481966</v>
      </c>
      <c r="H84" s="13">
        <f>E84*'Ranges and Data'!$A$5</f>
        <v>9864105.545810813</v>
      </c>
      <c r="I84" s="12">
        <f>E84*'Ranges and Data'!$A$4</f>
        <v>44388.47495614866</v>
      </c>
      <c r="J84" s="10">
        <f t="shared" si="24"/>
        <v>26394003.875596847</v>
      </c>
      <c r="K84" s="10">
        <f>J84*Questions!$B$10</f>
        <v>1847580.2712917796</v>
      </c>
      <c r="L84" s="10">
        <f>$I84*Questions!$B$10/2</f>
        <v>1553.5966234652033</v>
      </c>
      <c r="M84" s="10">
        <f t="shared" si="25"/>
        <v>28287526.21846824</v>
      </c>
      <c r="N84" s="11">
        <f>$H84-M84</f>
        <v>-18423420.67265743</v>
      </c>
      <c r="O84" s="12">
        <f t="shared" si="26"/>
        <v>1128006003.3198993</v>
      </c>
      <c r="P84" s="12">
        <f>O84*'Ranges and Data'!$A$1</f>
        <v>147768786.4349068</v>
      </c>
      <c r="Q84" s="12">
        <f>$I84*'Ranges and Data'!$A$1/2</f>
        <v>2907.4451096277376</v>
      </c>
      <c r="R84" s="12">
        <f t="shared" si="27"/>
        <v>1275822085.6748717</v>
      </c>
      <c r="S84" s="138">
        <f>$H84-R84</f>
        <v>-1265957980.129061</v>
      </c>
    </row>
  </sheetData>
  <sheetProtection/>
  <mergeCells count="2">
    <mergeCell ref="J1:N1"/>
    <mergeCell ref="O1:S1"/>
  </mergeCells>
  <printOptions horizontalCentered="1" verticalCentered="1"/>
  <pageMargins left="0" right="0" top="0" bottom="0" header="0.25" footer="0.25"/>
  <pageSetup fitToHeight="1" fitToWidth="1" horizontalDpi="525" verticalDpi="525" orientation="portrait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7">
      <selection activeCell="B4" sqref="B4:B40"/>
    </sheetView>
  </sheetViews>
  <sheetFormatPr defaultColWidth="9.140625" defaultRowHeight="12.75"/>
  <cols>
    <col min="1" max="1" width="9.7109375" style="132" bestFit="1" customWidth="1"/>
    <col min="2" max="2" width="4.57421875" style="0" bestFit="1" customWidth="1"/>
    <col min="3" max="3" width="9.7109375" style="0" bestFit="1" customWidth="1"/>
    <col min="4" max="4" width="9.57421875" style="133" bestFit="1" customWidth="1"/>
  </cols>
  <sheetData>
    <row r="1" spans="1:4" ht="12.75">
      <c r="A1" s="207" t="s">
        <v>81</v>
      </c>
      <c r="B1" s="207"/>
      <c r="C1" s="207"/>
      <c r="D1" s="207"/>
    </row>
    <row r="2" ht="12.75">
      <c r="C2" s="145">
        <f>'Ranges and Data'!$A$3</f>
        <v>0.03</v>
      </c>
    </row>
    <row r="3" ht="13.5" thickBot="1">
      <c r="C3" s="9"/>
    </row>
    <row r="4" spans="1:4" ht="12.75">
      <c r="A4" s="146" t="s">
        <v>0</v>
      </c>
      <c r="B4" s="147" t="s">
        <v>2</v>
      </c>
      <c r="C4" s="147" t="s">
        <v>79</v>
      </c>
      <c r="D4" s="148" t="s">
        <v>80</v>
      </c>
    </row>
    <row r="5" spans="1:4" ht="12.75">
      <c r="A5" s="139">
        <f>'Ranges and Data'!$A$11</f>
        <v>106045.44777042214</v>
      </c>
      <c r="B5" s="140">
        <v>1</v>
      </c>
      <c r="C5" s="139">
        <f>A5*(1-$C$2)</f>
        <v>102864.08433730947</v>
      </c>
      <c r="D5" s="141">
        <f>C5/$A$5</f>
        <v>0.97</v>
      </c>
    </row>
    <row r="6" spans="1:4" ht="12.75">
      <c r="A6" s="139">
        <f>C5</f>
        <v>102864.08433730947</v>
      </c>
      <c r="B6" s="140">
        <v>2</v>
      </c>
      <c r="C6" s="139">
        <f aca="true" t="shared" si="0" ref="C6:C40">A6*(1-$C$2)</f>
        <v>99778.16180719018</v>
      </c>
      <c r="D6" s="141">
        <f aca="true" t="shared" si="1" ref="D6:D40">C6/$A$5</f>
        <v>0.9408999999999998</v>
      </c>
    </row>
    <row r="7" spans="1:4" ht="12.75">
      <c r="A7" s="139">
        <f aca="true" t="shared" si="2" ref="A7:A40">C6</f>
        <v>99778.16180719018</v>
      </c>
      <c r="B7" s="140">
        <v>3</v>
      </c>
      <c r="C7" s="139">
        <f t="shared" si="0"/>
        <v>96784.81695297446</v>
      </c>
      <c r="D7" s="141">
        <f t="shared" si="1"/>
        <v>0.9126729999999998</v>
      </c>
    </row>
    <row r="8" spans="1:4" ht="12.75">
      <c r="A8" s="139">
        <f t="shared" si="2"/>
        <v>96784.81695297446</v>
      </c>
      <c r="B8" s="140">
        <v>4</v>
      </c>
      <c r="C8" s="139">
        <f t="shared" si="0"/>
        <v>93881.27244438522</v>
      </c>
      <c r="D8" s="141">
        <f t="shared" si="1"/>
        <v>0.8852928099999997</v>
      </c>
    </row>
    <row r="9" spans="1:4" ht="12.75">
      <c r="A9" s="139">
        <f t="shared" si="2"/>
        <v>93881.27244438522</v>
      </c>
      <c r="B9" s="140">
        <v>5</v>
      </c>
      <c r="C9" s="139">
        <f t="shared" si="0"/>
        <v>91064.83427105367</v>
      </c>
      <c r="D9" s="141">
        <f t="shared" si="1"/>
        <v>0.8587340256999998</v>
      </c>
    </row>
    <row r="10" spans="1:4" ht="12.75">
      <c r="A10" s="139">
        <f t="shared" si="2"/>
        <v>91064.83427105367</v>
      </c>
      <c r="B10" s="140">
        <v>6</v>
      </c>
      <c r="C10" s="139">
        <f t="shared" si="0"/>
        <v>88332.88924292206</v>
      </c>
      <c r="D10" s="141">
        <f t="shared" si="1"/>
        <v>0.8329720049289998</v>
      </c>
    </row>
    <row r="11" spans="1:4" ht="12.75">
      <c r="A11" s="139">
        <f t="shared" si="2"/>
        <v>88332.88924292206</v>
      </c>
      <c r="B11" s="140">
        <v>7</v>
      </c>
      <c r="C11" s="139">
        <f t="shared" si="0"/>
        <v>85682.90256563439</v>
      </c>
      <c r="D11" s="141">
        <f t="shared" si="1"/>
        <v>0.8079828447811297</v>
      </c>
    </row>
    <row r="12" spans="1:4" ht="12.75">
      <c r="A12" s="139">
        <f t="shared" si="2"/>
        <v>85682.90256563439</v>
      </c>
      <c r="B12" s="140">
        <v>8</v>
      </c>
      <c r="C12" s="139">
        <f t="shared" si="0"/>
        <v>83112.41548866536</v>
      </c>
      <c r="D12" s="141">
        <f t="shared" si="1"/>
        <v>0.7837433594376958</v>
      </c>
    </row>
    <row r="13" spans="1:4" ht="12.75">
      <c r="A13" s="139">
        <f t="shared" si="2"/>
        <v>83112.41548866536</v>
      </c>
      <c r="B13" s="140">
        <v>9</v>
      </c>
      <c r="C13" s="139">
        <f t="shared" si="0"/>
        <v>80619.0430240054</v>
      </c>
      <c r="D13" s="141">
        <f t="shared" si="1"/>
        <v>0.760231058654565</v>
      </c>
    </row>
    <row r="14" spans="1:4" ht="12.75">
      <c r="A14" s="139">
        <f t="shared" si="2"/>
        <v>80619.0430240054</v>
      </c>
      <c r="B14" s="140">
        <v>10</v>
      </c>
      <c r="C14" s="139">
        <f t="shared" si="0"/>
        <v>78200.47173328523</v>
      </c>
      <c r="D14" s="141">
        <f t="shared" si="1"/>
        <v>0.737424126894928</v>
      </c>
    </row>
    <row r="15" spans="1:4" ht="12.75">
      <c r="A15" s="139">
        <f t="shared" si="2"/>
        <v>78200.47173328523</v>
      </c>
      <c r="B15" s="140">
        <v>11</v>
      </c>
      <c r="C15" s="139">
        <f t="shared" si="0"/>
        <v>75854.45758128667</v>
      </c>
      <c r="D15" s="141">
        <f t="shared" si="1"/>
        <v>0.7153014030880801</v>
      </c>
    </row>
    <row r="16" spans="1:4" ht="12.75">
      <c r="A16" s="139">
        <f t="shared" si="2"/>
        <v>75854.45758128667</v>
      </c>
      <c r="B16" s="140">
        <v>12</v>
      </c>
      <c r="C16" s="139">
        <f t="shared" si="0"/>
        <v>73578.82385384807</v>
      </c>
      <c r="D16" s="141">
        <f t="shared" si="1"/>
        <v>0.6938423609954376</v>
      </c>
    </row>
    <row r="17" spans="1:4" ht="12.75">
      <c r="A17" s="139">
        <f t="shared" si="2"/>
        <v>73578.82385384807</v>
      </c>
      <c r="B17" s="140">
        <v>13</v>
      </c>
      <c r="C17" s="139">
        <f t="shared" si="0"/>
        <v>71371.45913823262</v>
      </c>
      <c r="D17" s="141">
        <f t="shared" si="1"/>
        <v>0.6730270901655745</v>
      </c>
    </row>
    <row r="18" spans="1:4" ht="12.75">
      <c r="A18" s="139">
        <f t="shared" si="2"/>
        <v>71371.45913823262</v>
      </c>
      <c r="B18" s="140">
        <v>14</v>
      </c>
      <c r="C18" s="139">
        <f t="shared" si="0"/>
        <v>69230.31536408563</v>
      </c>
      <c r="D18" s="141">
        <f t="shared" si="1"/>
        <v>0.6528362774606071</v>
      </c>
    </row>
    <row r="19" spans="1:4" ht="12.75">
      <c r="A19" s="139">
        <f t="shared" si="2"/>
        <v>69230.31536408563</v>
      </c>
      <c r="B19" s="140">
        <v>15</v>
      </c>
      <c r="C19" s="139">
        <f t="shared" si="0"/>
        <v>67153.40590316306</v>
      </c>
      <c r="D19" s="141">
        <f t="shared" si="1"/>
        <v>0.6332511891367889</v>
      </c>
    </row>
    <row r="20" spans="1:4" ht="12.75">
      <c r="A20" s="139">
        <f t="shared" si="2"/>
        <v>67153.40590316306</v>
      </c>
      <c r="B20" s="140">
        <v>16</v>
      </c>
      <c r="C20" s="139">
        <f t="shared" si="0"/>
        <v>65138.80372606817</v>
      </c>
      <c r="D20" s="141">
        <f t="shared" si="1"/>
        <v>0.6142536534626852</v>
      </c>
    </row>
    <row r="21" spans="1:4" ht="12.75">
      <c r="A21" s="139">
        <f t="shared" si="2"/>
        <v>65138.80372606817</v>
      </c>
      <c r="B21" s="140">
        <v>17</v>
      </c>
      <c r="C21" s="139">
        <f t="shared" si="0"/>
        <v>63184.63961428612</v>
      </c>
      <c r="D21" s="141">
        <f t="shared" si="1"/>
        <v>0.5958260438588047</v>
      </c>
    </row>
    <row r="22" spans="1:4" ht="12.75">
      <c r="A22" s="139">
        <f t="shared" si="2"/>
        <v>63184.63961428612</v>
      </c>
      <c r="B22" s="140">
        <v>18</v>
      </c>
      <c r="C22" s="139">
        <f t="shared" si="0"/>
        <v>61289.100425857534</v>
      </c>
      <c r="D22" s="141">
        <f t="shared" si="1"/>
        <v>0.5779512625430405</v>
      </c>
    </row>
    <row r="23" spans="1:4" ht="12.75">
      <c r="A23" s="139">
        <f t="shared" si="2"/>
        <v>61289.100425857534</v>
      </c>
      <c r="B23" s="140">
        <v>19</v>
      </c>
      <c r="C23" s="139">
        <f t="shared" si="0"/>
        <v>59450.42741308181</v>
      </c>
      <c r="D23" s="141">
        <f t="shared" si="1"/>
        <v>0.5606127246667493</v>
      </c>
    </row>
    <row r="24" spans="1:4" ht="12.75">
      <c r="A24" s="139">
        <f t="shared" si="2"/>
        <v>59450.42741308181</v>
      </c>
      <c r="B24" s="140">
        <v>20</v>
      </c>
      <c r="C24" s="139">
        <f t="shared" si="0"/>
        <v>57666.914590689354</v>
      </c>
      <c r="D24" s="141">
        <f t="shared" si="1"/>
        <v>0.5437943429267468</v>
      </c>
    </row>
    <row r="25" spans="1:4" ht="12.75">
      <c r="A25" s="139">
        <f t="shared" si="2"/>
        <v>57666.914590689354</v>
      </c>
      <c r="B25" s="140">
        <v>21</v>
      </c>
      <c r="C25" s="139">
        <f t="shared" si="0"/>
        <v>55936.90715296867</v>
      </c>
      <c r="D25" s="141">
        <f t="shared" si="1"/>
        <v>0.5274805126389444</v>
      </c>
    </row>
    <row r="26" spans="1:4" ht="12.75">
      <c r="A26" s="139">
        <f t="shared" si="2"/>
        <v>55936.90715296867</v>
      </c>
      <c r="B26" s="140">
        <v>22</v>
      </c>
      <c r="C26" s="139">
        <f t="shared" si="0"/>
        <v>54258.799938379605</v>
      </c>
      <c r="D26" s="141">
        <f t="shared" si="1"/>
        <v>0.511656097259776</v>
      </c>
    </row>
    <row r="27" spans="1:4" ht="12.75">
      <c r="A27" s="139">
        <f t="shared" si="2"/>
        <v>54258.799938379605</v>
      </c>
      <c r="B27" s="140">
        <v>23</v>
      </c>
      <c r="C27" s="139">
        <f t="shared" si="0"/>
        <v>52631.03594022821</v>
      </c>
      <c r="D27" s="141">
        <f t="shared" si="1"/>
        <v>0.4963064143419827</v>
      </c>
    </row>
    <row r="28" spans="1:4" ht="12.75">
      <c r="A28" s="139">
        <f t="shared" si="2"/>
        <v>52631.03594022821</v>
      </c>
      <c r="B28" s="140">
        <v>24</v>
      </c>
      <c r="C28" s="139">
        <f t="shared" si="0"/>
        <v>51052.10486202136</v>
      </c>
      <c r="D28" s="141">
        <f t="shared" si="1"/>
        <v>0.48141722191172315</v>
      </c>
    </row>
    <row r="29" spans="1:4" ht="12.75">
      <c r="A29" s="139">
        <f t="shared" si="2"/>
        <v>51052.10486202136</v>
      </c>
      <c r="B29" s="140">
        <v>25</v>
      </c>
      <c r="C29" s="139">
        <f t="shared" si="0"/>
        <v>49520.54171616072</v>
      </c>
      <c r="D29" s="141">
        <f t="shared" si="1"/>
        <v>0.46697470525437146</v>
      </c>
    </row>
    <row r="30" spans="1:4" ht="12.75">
      <c r="A30" s="139">
        <f t="shared" si="2"/>
        <v>49520.54171616072</v>
      </c>
      <c r="B30" s="140">
        <v>26</v>
      </c>
      <c r="C30" s="139">
        <f t="shared" si="0"/>
        <v>48034.92546467589</v>
      </c>
      <c r="D30" s="141">
        <f t="shared" si="1"/>
        <v>0.45296546409674027</v>
      </c>
    </row>
    <row r="31" spans="1:4" ht="12.75">
      <c r="A31" s="139">
        <f t="shared" si="2"/>
        <v>48034.92546467589</v>
      </c>
      <c r="B31" s="140">
        <v>27</v>
      </c>
      <c r="C31" s="139">
        <f t="shared" si="0"/>
        <v>46593.87770073561</v>
      </c>
      <c r="D31" s="141">
        <f t="shared" si="1"/>
        <v>0.439376500173838</v>
      </c>
    </row>
    <row r="32" spans="1:4" ht="12.75">
      <c r="A32" s="139">
        <f t="shared" si="2"/>
        <v>46593.87770073561</v>
      </c>
      <c r="B32" s="140">
        <v>28</v>
      </c>
      <c r="C32" s="139">
        <f t="shared" si="0"/>
        <v>45196.06136971354</v>
      </c>
      <c r="D32" s="141">
        <f t="shared" si="1"/>
        <v>0.42619520516862286</v>
      </c>
    </row>
    <row r="33" spans="1:4" ht="12.75">
      <c r="A33" s="139">
        <f t="shared" si="2"/>
        <v>45196.06136971354</v>
      </c>
      <c r="B33" s="140">
        <v>29</v>
      </c>
      <c r="C33" s="139">
        <f t="shared" si="0"/>
        <v>43840.17952862213</v>
      </c>
      <c r="D33" s="141">
        <f t="shared" si="1"/>
        <v>0.41340934901356413</v>
      </c>
    </row>
    <row r="34" spans="1:4" ht="12.75">
      <c r="A34" s="139">
        <f t="shared" si="2"/>
        <v>43840.17952862213</v>
      </c>
      <c r="B34" s="140">
        <v>30</v>
      </c>
      <c r="C34" s="139">
        <f t="shared" si="0"/>
        <v>42524.974142763465</v>
      </c>
      <c r="D34" s="141">
        <f t="shared" si="1"/>
        <v>0.4010070685431572</v>
      </c>
    </row>
    <row r="35" spans="1:4" ht="12.75">
      <c r="A35" s="139">
        <f t="shared" si="2"/>
        <v>42524.974142763465</v>
      </c>
      <c r="B35" s="140">
        <v>31</v>
      </c>
      <c r="C35" s="139">
        <f t="shared" si="0"/>
        <v>41249.22491848056</v>
      </c>
      <c r="D35" s="141">
        <f t="shared" si="1"/>
        <v>0.3889768564868625</v>
      </c>
    </row>
    <row r="36" spans="1:4" ht="12.75">
      <c r="A36" s="139">
        <f t="shared" si="2"/>
        <v>41249.22491848056</v>
      </c>
      <c r="B36" s="140">
        <v>32</v>
      </c>
      <c r="C36" s="139">
        <f t="shared" si="0"/>
        <v>40011.74817092614</v>
      </c>
      <c r="D36" s="141">
        <f t="shared" si="1"/>
        <v>0.3773075507922566</v>
      </c>
    </row>
    <row r="37" spans="1:4" ht="12.75">
      <c r="A37" s="139">
        <f t="shared" si="2"/>
        <v>40011.74817092614</v>
      </c>
      <c r="B37" s="140">
        <v>33</v>
      </c>
      <c r="C37" s="139">
        <f t="shared" si="0"/>
        <v>38811.39572579836</v>
      </c>
      <c r="D37" s="141">
        <f t="shared" si="1"/>
        <v>0.3659883242684889</v>
      </c>
    </row>
    <row r="38" spans="1:4" ht="12.75">
      <c r="A38" s="139">
        <f t="shared" si="2"/>
        <v>38811.39572579836</v>
      </c>
      <c r="B38" s="140">
        <v>34</v>
      </c>
      <c r="C38" s="139">
        <f t="shared" si="0"/>
        <v>37647.0538540244</v>
      </c>
      <c r="D38" s="141">
        <f t="shared" si="1"/>
        <v>0.35500867454043417</v>
      </c>
    </row>
    <row r="39" spans="1:4" ht="12.75">
      <c r="A39" s="139">
        <f t="shared" si="2"/>
        <v>37647.0538540244</v>
      </c>
      <c r="B39" s="140">
        <v>35</v>
      </c>
      <c r="C39" s="139">
        <f t="shared" si="0"/>
        <v>36517.64223840367</v>
      </c>
      <c r="D39" s="141">
        <f t="shared" si="1"/>
        <v>0.34435841430422115</v>
      </c>
    </row>
    <row r="40" spans="1:4" ht="13.5" thickBot="1">
      <c r="A40" s="142">
        <f t="shared" si="2"/>
        <v>36517.64223840367</v>
      </c>
      <c r="B40" s="143">
        <v>36</v>
      </c>
      <c r="C40" s="142">
        <f t="shared" si="0"/>
        <v>35422.11297125156</v>
      </c>
      <c r="D40" s="144">
        <f t="shared" si="1"/>
        <v>0.33402766187509453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90"/>
  <sheetViews>
    <sheetView zoomScalePageLayoutView="0" workbookViewId="0" topLeftCell="A1">
      <selection activeCell="D7" sqref="D7"/>
    </sheetView>
  </sheetViews>
  <sheetFormatPr defaultColWidth="10.00390625" defaultRowHeight="12.75"/>
  <cols>
    <col min="1" max="1" width="0.71875" style="21" customWidth="1"/>
    <col min="2" max="2" width="16.00390625" style="112" customWidth="1"/>
    <col min="3" max="3" width="9.8515625" style="113" customWidth="1"/>
    <col min="4" max="4" width="11.7109375" style="114" customWidth="1"/>
    <col min="5" max="5" width="2.7109375" style="21" customWidth="1"/>
    <col min="6" max="10" width="9.140625" style="115" customWidth="1"/>
    <col min="11" max="11" width="12.28125" style="115" bestFit="1" customWidth="1"/>
    <col min="12" max="13" width="9.140625" style="115" customWidth="1"/>
    <col min="14" max="14" width="10.00390625" style="21" customWidth="1"/>
    <col min="15" max="15" width="8.57421875" style="21" customWidth="1"/>
    <col min="16" max="21" width="7.8515625" style="21" customWidth="1"/>
    <col min="22" max="22" width="2.421875" style="21" customWidth="1"/>
    <col min="23" max="23" width="6.8515625" style="21" customWidth="1"/>
    <col min="24" max="24" width="7.421875" style="21" customWidth="1"/>
    <col min="25" max="25" width="7.00390625" style="21" customWidth="1"/>
    <col min="26" max="26" width="7.8515625" style="21" customWidth="1"/>
    <col min="27" max="27" width="7.28125" style="21" customWidth="1"/>
    <col min="28" max="28" width="8.28125" style="21" customWidth="1"/>
    <col min="29" max="29" width="1.421875" style="21" customWidth="1"/>
    <col min="30" max="30" width="8.7109375" style="21" customWidth="1"/>
    <col min="31" max="16384" width="10.00390625" style="21" customWidth="1"/>
  </cols>
  <sheetData>
    <row r="1" spans="1:30" ht="12.75" thickBot="1" thickTop="1">
      <c r="A1" s="15"/>
      <c r="B1" s="16" t="s">
        <v>14</v>
      </c>
      <c r="C1" s="15"/>
      <c r="D1" s="15"/>
      <c r="E1" s="15"/>
      <c r="F1" s="15"/>
      <c r="G1" s="15"/>
      <c r="H1" s="15"/>
      <c r="I1" s="17"/>
      <c r="J1" s="18" t="s">
        <v>15</v>
      </c>
      <c r="K1" s="19">
        <f ca="1">TODAY()</f>
        <v>42027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20"/>
      <c r="AD1" s="15"/>
    </row>
    <row r="2" spans="1:30" ht="15" customHeight="1" thickBot="1" thickTop="1">
      <c r="A2" s="15"/>
      <c r="B2" s="22"/>
      <c r="C2" s="23" t="s">
        <v>16</v>
      </c>
      <c r="D2" s="24" t="s">
        <v>17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25" t="s">
        <v>18</v>
      </c>
      <c r="P2" s="26">
        <v>-0.5</v>
      </c>
      <c r="Q2" s="21" t="s">
        <v>19</v>
      </c>
      <c r="S2" s="27">
        <v>0.2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2" customHeight="1" thickBot="1" thickTop="1">
      <c r="A3" s="15"/>
      <c r="B3" s="28"/>
      <c r="C3" s="29" t="s">
        <v>20</v>
      </c>
      <c r="D3" s="30">
        <f>(D5-SUM(B9:B490))/SUMPRODUCT(B9:B490,D9:D490)</f>
        <v>0.6028036237175638</v>
      </c>
      <c r="E3" s="15"/>
      <c r="F3" s="31"/>
      <c r="G3" s="32" t="s">
        <v>21</v>
      </c>
      <c r="H3" s="33">
        <f>D6</f>
        <v>0.131</v>
      </c>
      <c r="I3" s="34">
        <f>(1+H3)</f>
        <v>1.131</v>
      </c>
      <c r="J3" s="31" t="s">
        <v>22</v>
      </c>
      <c r="K3" s="3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2" customHeight="1" thickBot="1" thickTop="1">
      <c r="A4" s="15"/>
      <c r="B4" s="15"/>
      <c r="C4" s="36"/>
      <c r="D4" s="37"/>
      <c r="E4" s="15"/>
      <c r="F4" s="38"/>
      <c r="G4" s="25" t="s">
        <v>23</v>
      </c>
      <c r="H4" s="39">
        <f>I4-1</f>
        <v>0.12488024308168866</v>
      </c>
      <c r="I4" s="34">
        <f>I3-(W7-$D$5)/X7</f>
        <v>1.1248802430816887</v>
      </c>
      <c r="J4" s="40" t="s">
        <v>24</v>
      </c>
      <c r="K4" s="41">
        <f>SUM(AD9:AD490)-$D$5</f>
        <v>0.00229441374540329</v>
      </c>
      <c r="L4" s="15"/>
      <c r="M4" s="15"/>
      <c r="N4" s="42"/>
      <c r="O4" s="42"/>
      <c r="P4" s="42" t="s">
        <v>25</v>
      </c>
      <c r="Q4" s="42"/>
      <c r="R4" s="42"/>
      <c r="S4" s="42"/>
      <c r="T4" s="42"/>
      <c r="U4" s="42"/>
      <c r="V4" s="15"/>
      <c r="W4" s="43" t="s">
        <v>26</v>
      </c>
      <c r="X4" s="44"/>
      <c r="Y4" s="44"/>
      <c r="Z4" s="44"/>
      <c r="AA4" s="45"/>
      <c r="AB4" s="15"/>
      <c r="AC4" s="15"/>
      <c r="AD4" s="15"/>
    </row>
    <row r="5" spans="1:30" ht="15" customHeight="1" thickBot="1" thickTop="1">
      <c r="A5" s="15"/>
      <c r="B5" s="46"/>
      <c r="C5" s="47" t="s">
        <v>27</v>
      </c>
      <c r="D5" s="48">
        <f>'Ranges and Data'!$A$12</f>
        <v>2120908.9554084428</v>
      </c>
      <c r="E5" s="15"/>
      <c r="F5" s="38"/>
      <c r="G5" s="25" t="s">
        <v>28</v>
      </c>
      <c r="H5" s="39">
        <f>I5-1</f>
        <v>0.12443443440871649</v>
      </c>
      <c r="I5" s="34">
        <f>I4-(Y7-$D$5)/Z7</f>
        <v>1.1244344344087165</v>
      </c>
      <c r="J5" s="15"/>
      <c r="K5" s="15"/>
      <c r="L5" s="15"/>
      <c r="M5" s="15"/>
      <c r="N5" s="49" t="s">
        <v>61</v>
      </c>
      <c r="O5" s="50">
        <f aca="true" t="shared" si="0" ref="O5:U5">SUM(O9:O490)-$D$5</f>
        <v>-2111372.797326595</v>
      </c>
      <c r="P5" s="50">
        <f t="shared" si="0"/>
        <v>-2102633.105287503</v>
      </c>
      <c r="Q5" s="50">
        <f t="shared" si="0"/>
        <v>-2061853.4382373632</v>
      </c>
      <c r="R5" s="50">
        <f t="shared" si="0"/>
        <v>-842332.8654481645</v>
      </c>
      <c r="S5" s="50">
        <f t="shared" si="0"/>
        <v>87493780.04636861</v>
      </c>
      <c r="T5" s="50">
        <f t="shared" si="0"/>
        <v>4901738851.472037</v>
      </c>
      <c r="U5" s="50">
        <f t="shared" si="0"/>
        <v>178929057804.33926</v>
      </c>
      <c r="V5" s="15"/>
      <c r="W5" s="15"/>
      <c r="X5" s="15"/>
      <c r="Y5" s="15"/>
      <c r="Z5" s="15"/>
      <c r="AA5" s="15"/>
      <c r="AB5" s="15"/>
      <c r="AC5" s="51"/>
      <c r="AD5" s="52"/>
    </row>
    <row r="6" spans="1:30" ht="15" customHeight="1" thickBot="1" thickTop="1">
      <c r="A6" s="15"/>
      <c r="B6" s="46"/>
      <c r="C6" s="53" t="s">
        <v>29</v>
      </c>
      <c r="D6" s="27">
        <f>'Ranges and Data'!A1</f>
        <v>0.131</v>
      </c>
      <c r="E6" s="15"/>
      <c r="F6" s="38"/>
      <c r="G6" s="25" t="s">
        <v>30</v>
      </c>
      <c r="H6" s="39">
        <f>I6-1</f>
        <v>0.12443225684321058</v>
      </c>
      <c r="I6" s="34">
        <f>I5-(AA7-$D$5)/AB7</f>
        <v>1.1244322568432106</v>
      </c>
      <c r="J6" s="15"/>
      <c r="K6" s="15"/>
      <c r="L6" s="15"/>
      <c r="M6" s="15"/>
      <c r="N6" s="54" t="s">
        <v>31</v>
      </c>
      <c r="O6" s="55">
        <f>P2</f>
        <v>-0.5</v>
      </c>
      <c r="P6" s="55">
        <f aca="true" t="shared" si="1" ref="P6:U6">O6+$S$2</f>
        <v>-0.3</v>
      </c>
      <c r="Q6" s="55">
        <f t="shared" si="1"/>
        <v>-0.09999999999999998</v>
      </c>
      <c r="R6" s="55">
        <f t="shared" si="1"/>
        <v>0.10000000000000003</v>
      </c>
      <c r="S6" s="55">
        <f t="shared" si="1"/>
        <v>0.30000000000000004</v>
      </c>
      <c r="T6" s="55">
        <f t="shared" si="1"/>
        <v>0.5</v>
      </c>
      <c r="U6" s="56">
        <f t="shared" si="1"/>
        <v>0.7</v>
      </c>
      <c r="V6" s="15"/>
      <c r="W6" s="42"/>
      <c r="X6" s="42"/>
      <c r="Y6" s="42"/>
      <c r="Z6" s="42"/>
      <c r="AA6" s="42"/>
      <c r="AB6" s="42"/>
      <c r="AC6" s="57"/>
      <c r="AD6" s="58" t="s">
        <v>32</v>
      </c>
    </row>
    <row r="7" spans="1:30" ht="15" customHeight="1" thickBot="1" thickTop="1">
      <c r="A7" s="15"/>
      <c r="B7" s="59"/>
      <c r="C7" s="60" t="s">
        <v>33</v>
      </c>
      <c r="D7" s="61">
        <f>I6-1</f>
        <v>0.12443225684321058</v>
      </c>
      <c r="E7" s="15"/>
      <c r="F7" s="62"/>
      <c r="G7" s="63" t="s">
        <v>34</v>
      </c>
      <c r="H7" s="64"/>
      <c r="I7" s="64"/>
      <c r="J7" s="64"/>
      <c r="K7" s="64"/>
      <c r="L7" s="65"/>
      <c r="M7" s="15"/>
      <c r="N7" s="42"/>
      <c r="O7" s="66">
        <f aca="true" t="shared" si="2" ref="O7:U7">1+O6</f>
        <v>0.5</v>
      </c>
      <c r="P7" s="66">
        <f t="shared" si="2"/>
        <v>0.7</v>
      </c>
      <c r="Q7" s="66">
        <f t="shared" si="2"/>
        <v>0.9</v>
      </c>
      <c r="R7" s="66">
        <f t="shared" si="2"/>
        <v>1.1</v>
      </c>
      <c r="S7" s="66">
        <f t="shared" si="2"/>
        <v>1.3</v>
      </c>
      <c r="T7" s="66">
        <f t="shared" si="2"/>
        <v>1.5</v>
      </c>
      <c r="U7" s="67">
        <f t="shared" si="2"/>
        <v>1.7</v>
      </c>
      <c r="V7" s="15"/>
      <c r="W7" s="68">
        <f aca="true" t="shared" si="3" ref="W7:AB7">SUM(W9:W490)</f>
        <v>2434738.7036990696</v>
      </c>
      <c r="X7" s="69">
        <f t="shared" si="3"/>
        <v>51281407.49375075</v>
      </c>
      <c r="Y7" s="68">
        <f t="shared" si="3"/>
        <v>2140918.678108247</v>
      </c>
      <c r="Z7" s="69">
        <f t="shared" si="3"/>
        <v>44884103.68153169</v>
      </c>
      <c r="AA7" s="68">
        <f t="shared" si="3"/>
        <v>2121005.74942728</v>
      </c>
      <c r="AB7" s="69">
        <f t="shared" si="3"/>
        <v>44450565.81469008</v>
      </c>
      <c r="AC7" s="70"/>
      <c r="AD7" s="71" t="s">
        <v>35</v>
      </c>
    </row>
    <row r="8" spans="1:30" ht="12" customHeight="1" thickBot="1" thickTop="1">
      <c r="A8" s="15"/>
      <c r="B8" s="72" t="s">
        <v>36</v>
      </c>
      <c r="C8" s="73" t="s">
        <v>37</v>
      </c>
      <c r="D8" s="74" t="s">
        <v>38</v>
      </c>
      <c r="E8" s="15"/>
      <c r="F8" s="75" t="s">
        <v>39</v>
      </c>
      <c r="G8" s="76" t="s">
        <v>40</v>
      </c>
      <c r="H8" s="21"/>
      <c r="I8" s="21"/>
      <c r="J8" s="21"/>
      <c r="K8" s="21"/>
      <c r="L8" s="77"/>
      <c r="M8" s="15"/>
      <c r="N8" s="42"/>
      <c r="O8" s="42"/>
      <c r="P8" s="42"/>
      <c r="Q8" s="42"/>
      <c r="R8" s="42"/>
      <c r="S8" s="42"/>
      <c r="T8" s="42"/>
      <c r="U8" s="78"/>
      <c r="V8" s="15"/>
      <c r="W8" s="79"/>
      <c r="X8" s="80" t="s">
        <v>41</v>
      </c>
      <c r="Y8" s="81"/>
      <c r="Z8" s="81"/>
      <c r="AA8" s="82"/>
      <c r="AB8" s="82"/>
      <c r="AC8" s="57"/>
      <c r="AD8" s="42"/>
    </row>
    <row r="9" spans="1:30" ht="12" customHeight="1" thickTop="1">
      <c r="A9" s="15"/>
      <c r="B9" s="83">
        <f>Questions!$B$8</f>
        <v>10000</v>
      </c>
      <c r="C9" s="84">
        <f>K1-('Ranges and Data'!$A$6*365)</f>
        <v>31077</v>
      </c>
      <c r="D9" s="85">
        <f aca="true" t="shared" si="4" ref="D9:D72">IF(B9&lt;&gt;0,$K$1-C9,0)/365</f>
        <v>30</v>
      </c>
      <c r="E9" s="15"/>
      <c r="F9" s="75" t="s">
        <v>42</v>
      </c>
      <c r="G9" s="76" t="s">
        <v>43</v>
      </c>
      <c r="H9" s="21"/>
      <c r="I9" s="21"/>
      <c r="J9" s="21"/>
      <c r="K9" s="21"/>
      <c r="L9" s="77"/>
      <c r="M9" s="15"/>
      <c r="N9" s="42"/>
      <c r="O9" s="86">
        <f aca="true" t="shared" si="5" ref="O9:U18">$B9*O$7^$D9</f>
        <v>9.313225746154785E-06</v>
      </c>
      <c r="P9" s="86">
        <f t="shared" si="5"/>
        <v>0.22539340290692206</v>
      </c>
      <c r="Q9" s="86">
        <f t="shared" si="5"/>
        <v>423.91158275216264</v>
      </c>
      <c r="R9" s="86">
        <f t="shared" si="5"/>
        <v>174494.02268886444</v>
      </c>
      <c r="S9" s="86">
        <f t="shared" si="5"/>
        <v>26199956.436499484</v>
      </c>
      <c r="T9" s="86">
        <f t="shared" si="5"/>
        <v>1917510592.328841</v>
      </c>
      <c r="U9" s="87">
        <f t="shared" si="5"/>
        <v>81934657258.14755</v>
      </c>
      <c r="V9" s="15"/>
      <c r="W9" s="88">
        <f aca="true" t="shared" si="6" ref="W9:W72">$B9*I$3^$D9</f>
        <v>401678.0941482426</v>
      </c>
      <c r="X9" s="89">
        <f aca="true" t="shared" si="7" ref="X9:X72">W9*$D9/I$3</f>
        <v>10654591.35671731</v>
      </c>
      <c r="Y9" s="90">
        <f aca="true" t="shared" si="8" ref="Y9:Y72">$B9*I$4^$D9</f>
        <v>341341.16973503394</v>
      </c>
      <c r="Z9" s="89">
        <f aca="true" t="shared" si="9" ref="Z9:Z72">Y9*$D9/I$4</f>
        <v>9103400.255299332</v>
      </c>
      <c r="AA9" s="90">
        <f aca="true" t="shared" si="10" ref="AA9:AA72">$B9*I$5^$D9</f>
        <v>337306.0307283402</v>
      </c>
      <c r="AB9" s="90">
        <f aca="true" t="shared" si="11" ref="AB9:AB72">AA9*$D9/I$5</f>
        <v>8999351.684895149</v>
      </c>
      <c r="AC9" s="91"/>
      <c r="AD9" s="92">
        <f aca="true" t="shared" si="12" ref="AD9:AD72">$B9*(1+$D$7)^$D9</f>
        <v>337286.4346008112</v>
      </c>
    </row>
    <row r="10" spans="1:30" ht="12" customHeight="1">
      <c r="A10" s="15"/>
      <c r="B10" s="93">
        <f>IF(C10&gt;$K$1,0,'Ranges and Data'!$A$10)</f>
        <v>535.2234266961229</v>
      </c>
      <c r="C10" s="94">
        <f aca="true" t="shared" si="13" ref="C10:C73">C9+(365/12)</f>
        <v>31107.416666666668</v>
      </c>
      <c r="D10" s="85">
        <f t="shared" si="4"/>
        <v>29.916666666666664</v>
      </c>
      <c r="E10" s="15"/>
      <c r="F10" s="95"/>
      <c r="G10" s="76" t="s">
        <v>44</v>
      </c>
      <c r="H10" s="21"/>
      <c r="I10" s="21"/>
      <c r="J10" s="21"/>
      <c r="K10" s="21"/>
      <c r="L10" s="77"/>
      <c r="M10" s="15"/>
      <c r="N10" s="42"/>
      <c r="O10" s="86">
        <f t="shared" si="5"/>
        <v>5.28105970305447E-07</v>
      </c>
      <c r="P10" s="86">
        <f t="shared" si="5"/>
        <v>0.012427529745731204</v>
      </c>
      <c r="Q10" s="86">
        <f t="shared" si="5"/>
        <v>22.888826207595407</v>
      </c>
      <c r="R10" s="86">
        <f t="shared" si="5"/>
        <v>9265.444917246112</v>
      </c>
      <c r="S10" s="86">
        <f t="shared" si="5"/>
        <v>1371956.697291379</v>
      </c>
      <c r="T10" s="86">
        <f t="shared" si="5"/>
        <v>99219861.00364693</v>
      </c>
      <c r="U10" s="87">
        <f t="shared" si="5"/>
        <v>4195644459.3361444</v>
      </c>
      <c r="V10" s="15"/>
      <c r="W10" s="96">
        <f t="shared" si="6"/>
        <v>21279.33466664181</v>
      </c>
      <c r="X10" s="97">
        <f t="shared" si="7"/>
        <v>562870.7003628359</v>
      </c>
      <c r="Y10" s="98">
        <f t="shared" si="8"/>
        <v>18091.098125019216</v>
      </c>
      <c r="Z10" s="97">
        <f t="shared" si="9"/>
        <v>481140.4196747497</v>
      </c>
      <c r="AA10" s="98">
        <f t="shared" si="10"/>
        <v>17877.82611415859</v>
      </c>
      <c r="AB10" s="98">
        <f t="shared" si="11"/>
        <v>475656.8708811903</v>
      </c>
      <c r="AC10" s="91"/>
      <c r="AD10" s="92">
        <f t="shared" si="12"/>
        <v>17876.79036916488</v>
      </c>
    </row>
    <row r="11" spans="1:30" ht="12" customHeight="1">
      <c r="A11" s="15"/>
      <c r="B11" s="93">
        <f>IF(C11&gt;$K$1,0,'Ranges and Data'!$A$10)</f>
        <v>535.2234266961229</v>
      </c>
      <c r="C11" s="94">
        <f t="shared" si="13"/>
        <v>31137.833333333336</v>
      </c>
      <c r="D11" s="85">
        <f t="shared" si="4"/>
        <v>29.833333333333325</v>
      </c>
      <c r="E11" s="15"/>
      <c r="F11" s="75" t="s">
        <v>45</v>
      </c>
      <c r="G11" s="76" t="s">
        <v>46</v>
      </c>
      <c r="H11" s="21"/>
      <c r="I11" s="21"/>
      <c r="J11" s="21"/>
      <c r="K11" s="21"/>
      <c r="L11" s="77"/>
      <c r="M11" s="15"/>
      <c r="N11" s="42"/>
      <c r="O11" s="86">
        <f t="shared" si="5"/>
        <v>5.59508785449429E-07</v>
      </c>
      <c r="P11" s="86">
        <f t="shared" si="5"/>
        <v>0.012802456473688823</v>
      </c>
      <c r="Q11" s="86">
        <f t="shared" si="5"/>
        <v>23.09067591310881</v>
      </c>
      <c r="R11" s="86">
        <f t="shared" si="5"/>
        <v>9192.145458516981</v>
      </c>
      <c r="S11" s="86">
        <f t="shared" si="5"/>
        <v>1342286.1983377289</v>
      </c>
      <c r="T11" s="86">
        <f t="shared" si="5"/>
        <v>95923351.14394188</v>
      </c>
      <c r="U11" s="87">
        <f t="shared" si="5"/>
        <v>4014159288.3568225</v>
      </c>
      <c r="V11" s="15"/>
      <c r="W11" s="96">
        <f t="shared" si="6"/>
        <v>21062.156131775573</v>
      </c>
      <c r="X11" s="97">
        <f t="shared" si="7"/>
        <v>555574.1154712387</v>
      </c>
      <c r="Y11" s="98">
        <f t="shared" si="8"/>
        <v>17914.55694280494</v>
      </c>
      <c r="Z11" s="97">
        <f t="shared" si="9"/>
        <v>475118.08664139616</v>
      </c>
      <c r="AA11" s="98">
        <f t="shared" si="10"/>
        <v>17703.950941096613</v>
      </c>
      <c r="AB11" s="98">
        <f t="shared" si="11"/>
        <v>469718.6901968654</v>
      </c>
      <c r="AC11" s="91"/>
      <c r="AD11" s="92">
        <f t="shared" si="12"/>
        <v>17702.92812643575</v>
      </c>
    </row>
    <row r="12" spans="1:30" ht="12" customHeight="1">
      <c r="A12" s="15"/>
      <c r="B12" s="93">
        <f>IF(C12&gt;$K$1,0,'Ranges and Data'!$A$10)</f>
        <v>535.2234266961229</v>
      </c>
      <c r="C12" s="94">
        <f t="shared" si="13"/>
        <v>31168.250000000004</v>
      </c>
      <c r="D12" s="85">
        <f t="shared" si="4"/>
        <v>29.74999999999999</v>
      </c>
      <c r="E12" s="15"/>
      <c r="F12" s="95"/>
      <c r="G12" s="76" t="s">
        <v>47</v>
      </c>
      <c r="H12" s="21"/>
      <c r="I12" s="21"/>
      <c r="J12" s="21"/>
      <c r="K12" s="21"/>
      <c r="L12" s="77"/>
      <c r="M12" s="15"/>
      <c r="N12" s="42"/>
      <c r="O12" s="86">
        <f t="shared" si="5"/>
        <v>5.927789091534653E-07</v>
      </c>
      <c r="P12" s="86">
        <f t="shared" si="5"/>
        <v>0.013188694383692497</v>
      </c>
      <c r="Q12" s="86">
        <f t="shared" si="5"/>
        <v>23.294305670742226</v>
      </c>
      <c r="R12" s="86">
        <f t="shared" si="5"/>
        <v>9119.425875951165</v>
      </c>
      <c r="S12" s="86">
        <f t="shared" si="5"/>
        <v>1313257.3657791605</v>
      </c>
      <c r="T12" s="86">
        <f t="shared" si="5"/>
        <v>92736365.49788946</v>
      </c>
      <c r="U12" s="87">
        <f t="shared" si="5"/>
        <v>3840524369.610416</v>
      </c>
      <c r="V12" s="15"/>
      <c r="W12" s="96">
        <f t="shared" si="6"/>
        <v>20847.194137827813</v>
      </c>
      <c r="X12" s="97">
        <f t="shared" si="7"/>
        <v>548367.838727124</v>
      </c>
      <c r="Y12" s="98">
        <f t="shared" si="8"/>
        <v>17739.738529921873</v>
      </c>
      <c r="Z12" s="97">
        <f t="shared" si="9"/>
        <v>469167.47316971933</v>
      </c>
      <c r="AA12" s="98">
        <f t="shared" si="10"/>
        <v>17531.76683358224</v>
      </c>
      <c r="AB12" s="98">
        <f t="shared" si="11"/>
        <v>463851.0235355243</v>
      </c>
      <c r="AC12" s="91"/>
      <c r="AD12" s="92">
        <f t="shared" si="12"/>
        <v>17530.756795711666</v>
      </c>
    </row>
    <row r="13" spans="1:30" ht="12" customHeight="1">
      <c r="A13" s="15"/>
      <c r="B13" s="93">
        <f>IF(C13&gt;$K$1,0,'Ranges and Data'!$A$10)</f>
        <v>535.2234266961229</v>
      </c>
      <c r="C13" s="94">
        <f t="shared" si="13"/>
        <v>31198.66666666667</v>
      </c>
      <c r="D13" s="85">
        <f t="shared" si="4"/>
        <v>29.666666666666654</v>
      </c>
      <c r="E13" s="15"/>
      <c r="F13" s="75" t="s">
        <v>48</v>
      </c>
      <c r="G13" s="76" t="s">
        <v>62</v>
      </c>
      <c r="H13" s="21"/>
      <c r="I13" s="21"/>
      <c r="J13" s="21"/>
      <c r="K13" s="21"/>
      <c r="L13" s="77"/>
      <c r="M13" s="15"/>
      <c r="N13" s="42"/>
      <c r="O13" s="86">
        <f t="shared" si="5"/>
        <v>6.280273773626581E-07</v>
      </c>
      <c r="P13" s="86">
        <f t="shared" si="5"/>
        <v>0.013586584723324078</v>
      </c>
      <c r="Q13" s="86">
        <f t="shared" si="5"/>
        <v>23.49973117824238</v>
      </c>
      <c r="R13" s="86">
        <f t="shared" si="5"/>
        <v>9047.28158211554</v>
      </c>
      <c r="S13" s="86">
        <f t="shared" si="5"/>
        <v>1284856.3226747022</v>
      </c>
      <c r="T13" s="86">
        <f t="shared" si="5"/>
        <v>89655265.20078513</v>
      </c>
      <c r="U13" s="87">
        <f t="shared" si="5"/>
        <v>3674400135.628201</v>
      </c>
      <c r="V13" s="15"/>
      <c r="W13" s="96">
        <f t="shared" si="6"/>
        <v>20634.426062610542</v>
      </c>
      <c r="X13" s="97">
        <f t="shared" si="7"/>
        <v>541250.7867881926</v>
      </c>
      <c r="Y13" s="98">
        <f t="shared" si="8"/>
        <v>17566.62607480157</v>
      </c>
      <c r="Z13" s="97">
        <f t="shared" si="9"/>
        <v>463287.75300684845</v>
      </c>
      <c r="AA13" s="98">
        <f t="shared" si="10"/>
        <v>17361.257344743604</v>
      </c>
      <c r="AB13" s="98">
        <f t="shared" si="11"/>
        <v>458053.0609875585</v>
      </c>
      <c r="AC13" s="91"/>
      <c r="AD13" s="92">
        <f t="shared" si="12"/>
        <v>17360.259931884346</v>
      </c>
    </row>
    <row r="14" spans="1:30" ht="12" customHeight="1">
      <c r="A14" s="15"/>
      <c r="B14" s="93">
        <f>IF(C14&gt;$K$1,0,'Ranges and Data'!$A$10)</f>
        <v>535.2234266961229</v>
      </c>
      <c r="C14" s="94">
        <f t="shared" si="13"/>
        <v>31229.08333333334</v>
      </c>
      <c r="D14" s="85">
        <f t="shared" si="4"/>
        <v>29.583333333333318</v>
      </c>
      <c r="E14" s="15"/>
      <c r="F14" s="75" t="s">
        <v>49</v>
      </c>
      <c r="G14" s="76" t="s">
        <v>50</v>
      </c>
      <c r="H14" s="21"/>
      <c r="I14" s="21"/>
      <c r="J14" s="21"/>
      <c r="K14" s="21"/>
      <c r="L14" s="77"/>
      <c r="M14" s="15"/>
      <c r="N14" s="42"/>
      <c r="O14" s="86">
        <f t="shared" si="5"/>
        <v>6.65371828562997E-07</v>
      </c>
      <c r="P14" s="86">
        <f t="shared" si="5"/>
        <v>0.013996479035279704</v>
      </c>
      <c r="Q14" s="86">
        <f t="shared" si="5"/>
        <v>23.70696827178971</v>
      </c>
      <c r="R14" s="86">
        <f t="shared" si="5"/>
        <v>8975.708025868427</v>
      </c>
      <c r="S14" s="86">
        <f t="shared" si="5"/>
        <v>1257069.4921918062</v>
      </c>
      <c r="T14" s="86">
        <f t="shared" si="5"/>
        <v>86676532.28663637</v>
      </c>
      <c r="U14" s="87">
        <f t="shared" si="5"/>
        <v>3515461707.1402893</v>
      </c>
      <c r="V14" s="15"/>
      <c r="W14" s="96">
        <f t="shared" si="6"/>
        <v>20423.82951481958</v>
      </c>
      <c r="X14" s="97">
        <f t="shared" si="7"/>
        <v>534221.8890186374</v>
      </c>
      <c r="Y14" s="98">
        <f t="shared" si="8"/>
        <v>17395.202929930514</v>
      </c>
      <c r="Z14" s="97">
        <f t="shared" si="9"/>
        <v>457478.10919614485</v>
      </c>
      <c r="AA14" s="98">
        <f t="shared" si="10"/>
        <v>17192.406187666977</v>
      </c>
      <c r="AB14" s="98">
        <f t="shared" si="11"/>
        <v>452324.00172738056</v>
      </c>
      <c r="AC14" s="91"/>
      <c r="AD14" s="92">
        <f t="shared" si="12"/>
        <v>17191.421249783776</v>
      </c>
    </row>
    <row r="15" spans="1:30" ht="12" customHeight="1" thickBot="1">
      <c r="A15" s="15"/>
      <c r="B15" s="93">
        <f>IF(C15&gt;$K$1,0,'Ranges and Data'!$A$10)</f>
        <v>535.2234266961229</v>
      </c>
      <c r="C15" s="94">
        <f t="shared" si="13"/>
        <v>31259.500000000007</v>
      </c>
      <c r="D15" s="85">
        <f t="shared" si="4"/>
        <v>29.49999999999998</v>
      </c>
      <c r="E15" s="15"/>
      <c r="F15" s="99" t="s">
        <v>51</v>
      </c>
      <c r="G15" s="100" t="s">
        <v>52</v>
      </c>
      <c r="H15" s="21"/>
      <c r="I15" s="21"/>
      <c r="J15" s="21"/>
      <c r="K15" s="21"/>
      <c r="L15" s="77"/>
      <c r="M15" s="15"/>
      <c r="N15" s="42"/>
      <c r="O15" s="86">
        <f t="shared" si="5"/>
        <v>7.049368963888579E-07</v>
      </c>
      <c r="P15" s="86">
        <f t="shared" si="5"/>
        <v>0.014418739467963633</v>
      </c>
      <c r="Q15" s="86">
        <f t="shared" si="5"/>
        <v>23.91603292721919</v>
      </c>
      <c r="R15" s="86">
        <f t="shared" si="5"/>
        <v>8904.700692072476</v>
      </c>
      <c r="S15" s="86">
        <f t="shared" si="5"/>
        <v>1229883.5911160791</v>
      </c>
      <c r="T15" s="86">
        <f t="shared" si="5"/>
        <v>83796765.67138746</v>
      </c>
      <c r="U15" s="87">
        <f t="shared" si="5"/>
        <v>3363398257.728619</v>
      </c>
      <c r="V15" s="15"/>
      <c r="W15" s="96">
        <f t="shared" si="6"/>
        <v>20215.382331678084</v>
      </c>
      <c r="X15" s="97">
        <f t="shared" si="7"/>
        <v>527280.0873426198</v>
      </c>
      <c r="Y15" s="98">
        <f t="shared" si="8"/>
        <v>17225.45261024925</v>
      </c>
      <c r="Z15" s="97">
        <f t="shared" si="9"/>
        <v>451737.7339744517</v>
      </c>
      <c r="AA15" s="98">
        <f t="shared" si="10"/>
        <v>17025.197233840932</v>
      </c>
      <c r="AB15" s="98">
        <f t="shared" si="11"/>
        <v>446663.05391333165</v>
      </c>
      <c r="AC15" s="91"/>
      <c r="AD15" s="92">
        <f t="shared" si="12"/>
        <v>17024.224622622773</v>
      </c>
    </row>
    <row r="16" spans="1:30" ht="12" customHeight="1" thickBot="1">
      <c r="A16" s="15"/>
      <c r="B16" s="93">
        <f>IF(C16&gt;$K$1,0,'Ranges and Data'!$A$10)</f>
        <v>535.2234266961229</v>
      </c>
      <c r="C16" s="94">
        <f t="shared" si="13"/>
        <v>31289.916666666675</v>
      </c>
      <c r="D16" s="85">
        <f t="shared" si="4"/>
        <v>29.416666666666643</v>
      </c>
      <c r="E16" s="15"/>
      <c r="F16" s="101" t="s">
        <v>53</v>
      </c>
      <c r="G16" s="102"/>
      <c r="H16" s="102"/>
      <c r="I16" s="102"/>
      <c r="J16" s="103"/>
      <c r="K16" s="21"/>
      <c r="L16" s="77"/>
      <c r="M16" s="15"/>
      <c r="N16" s="42"/>
      <c r="O16" s="86">
        <f t="shared" si="5"/>
        <v>7.468546255761774E-07</v>
      </c>
      <c r="P16" s="86">
        <f t="shared" si="5"/>
        <v>0.014853739095452241</v>
      </c>
      <c r="Q16" s="86">
        <f t="shared" si="5"/>
        <v>24.12694126125188</v>
      </c>
      <c r="R16" s="86">
        <f t="shared" si="5"/>
        <v>8834.255101309873</v>
      </c>
      <c r="S16" s="86">
        <f t="shared" si="5"/>
        <v>1203285.623501384</v>
      </c>
      <c r="T16" s="86">
        <f t="shared" si="5"/>
        <v>81012677.26960109</v>
      </c>
      <c r="U16" s="87">
        <f t="shared" si="5"/>
        <v>3217912405.96224</v>
      </c>
      <c r="V16" s="15"/>
      <c r="W16" s="96">
        <f t="shared" si="6"/>
        <v>20009.062576604294</v>
      </c>
      <c r="X16" s="97">
        <f t="shared" si="7"/>
        <v>520424.3360994187</v>
      </c>
      <c r="Y16" s="98">
        <f t="shared" si="8"/>
        <v>17057.358791567025</v>
      </c>
      <c r="Z16" s="97">
        <f t="shared" si="9"/>
        <v>446065.82867046085</v>
      </c>
      <c r="AA16" s="98">
        <f t="shared" si="10"/>
        <v>16859.614511615906</v>
      </c>
      <c r="AB16" s="98">
        <f t="shared" si="11"/>
        <v>441069.4345886854</v>
      </c>
      <c r="AC16" s="91"/>
      <c r="AD16" s="92">
        <f t="shared" si="12"/>
        <v>16858.654080456607</v>
      </c>
    </row>
    <row r="17" spans="1:30" ht="12" customHeight="1">
      <c r="A17" s="15"/>
      <c r="B17" s="93">
        <f>IF(C17&gt;$K$1,0,'Ranges and Data'!$A$10)</f>
        <v>535.2234266961229</v>
      </c>
      <c r="C17" s="94">
        <f t="shared" si="13"/>
        <v>31320.333333333343</v>
      </c>
      <c r="D17" s="85">
        <f t="shared" si="4"/>
        <v>29.333333333333307</v>
      </c>
      <c r="E17" s="15"/>
      <c r="F17" s="104" t="s">
        <v>54</v>
      </c>
      <c r="G17" s="21"/>
      <c r="H17" s="21"/>
      <c r="I17" s="21"/>
      <c r="J17" s="21"/>
      <c r="K17" s="21"/>
      <c r="L17" s="77"/>
      <c r="M17" s="15"/>
      <c r="N17" s="42"/>
      <c r="O17" s="86">
        <f t="shared" si="5"/>
        <v>7.912649126494927E-07</v>
      </c>
      <c r="P17" s="86">
        <f t="shared" si="5"/>
        <v>0.015301862247111298</v>
      </c>
      <c r="Q17" s="86">
        <f t="shared" si="5"/>
        <v>24.33970953273741</v>
      </c>
      <c r="R17" s="86">
        <f t="shared" si="5"/>
        <v>8764.3668095997</v>
      </c>
      <c r="S17" s="86">
        <f t="shared" si="5"/>
        <v>1177262.8744572452</v>
      </c>
      <c r="T17" s="86">
        <f t="shared" si="5"/>
        <v>78321088.2401577</v>
      </c>
      <c r="U17" s="87">
        <f t="shared" si="5"/>
        <v>3078719633.826129</v>
      </c>
      <c r="V17" s="15"/>
      <c r="W17" s="96">
        <f t="shared" si="6"/>
        <v>19804.848536902857</v>
      </c>
      <c r="X17" s="97">
        <f t="shared" si="7"/>
        <v>513653.60190022097</v>
      </c>
      <c r="Y17" s="98">
        <f t="shared" si="8"/>
        <v>16890.905308991987</v>
      </c>
      <c r="Z17" s="97">
        <f t="shared" si="9"/>
        <v>440461.6036041896</v>
      </c>
      <c r="AA17" s="98">
        <f t="shared" si="10"/>
        <v>16695.64220467845</v>
      </c>
      <c r="AB17" s="98">
        <f t="shared" si="11"/>
        <v>435542.3695837186</v>
      </c>
      <c r="AC17" s="91"/>
      <c r="AD17" s="92">
        <f t="shared" si="12"/>
        <v>16694.69380865757</v>
      </c>
    </row>
    <row r="18" spans="1:30" ht="12" customHeight="1">
      <c r="A18" s="15"/>
      <c r="B18" s="93">
        <f>IF(C18&gt;$K$1,0,'Ranges and Data'!$A$10)</f>
        <v>535.2234266961229</v>
      </c>
      <c r="C18" s="94">
        <f t="shared" si="13"/>
        <v>31350.75000000001</v>
      </c>
      <c r="D18" s="85">
        <f t="shared" si="4"/>
        <v>29.24999999999997</v>
      </c>
      <c r="E18" s="15"/>
      <c r="F18" s="105" t="s">
        <v>55</v>
      </c>
      <c r="G18" s="21"/>
      <c r="H18" s="21"/>
      <c r="I18" s="21"/>
      <c r="J18" s="21"/>
      <c r="K18" s="21"/>
      <c r="L18" s="77"/>
      <c r="M18" s="15"/>
      <c r="N18" s="42"/>
      <c r="O18" s="86">
        <f t="shared" si="5"/>
        <v>8.383159728135691E-07</v>
      </c>
      <c r="P18" s="86">
        <f t="shared" si="5"/>
        <v>0.015763504847157217</v>
      </c>
      <c r="Q18" s="86">
        <f t="shared" si="5"/>
        <v>24.554354143907297</v>
      </c>
      <c r="R18" s="86">
        <f t="shared" si="5"/>
        <v>8695.031408117637</v>
      </c>
      <c r="S18" s="86">
        <f t="shared" si="5"/>
        <v>1151802.904070632</v>
      </c>
      <c r="T18" s="86">
        <f t="shared" si="5"/>
        <v>75718925.35669017</v>
      </c>
      <c r="U18" s="87">
        <f t="shared" si="5"/>
        <v>2945547730.3062835</v>
      </c>
      <c r="V18" s="15"/>
      <c r="W18" s="96">
        <f t="shared" si="6"/>
        <v>19602.718721479872</v>
      </c>
      <c r="X18" s="97">
        <f t="shared" si="7"/>
        <v>506966.86348654795</v>
      </c>
      <c r="Y18" s="98">
        <f t="shared" si="8"/>
        <v>16726.07615537666</v>
      </c>
      <c r="Z18" s="97">
        <f t="shared" si="9"/>
        <v>434924.2779875533</v>
      </c>
      <c r="AA18" s="98">
        <f t="shared" si="10"/>
        <v>16533.264650540586</v>
      </c>
      <c r="AB18" s="98">
        <f t="shared" si="11"/>
        <v>430081.0934188542</v>
      </c>
      <c r="AC18" s="91"/>
      <c r="AD18" s="92">
        <f t="shared" si="12"/>
        <v>16532.32814640448</v>
      </c>
    </row>
    <row r="19" spans="1:30" ht="12" customHeight="1">
      <c r="A19" s="15"/>
      <c r="B19" s="93">
        <f>IF(C19&gt;$K$1,0,'Ranges and Data'!$A$10)</f>
        <v>535.2234266961229</v>
      </c>
      <c r="C19" s="94">
        <f t="shared" si="13"/>
        <v>31381.16666666668</v>
      </c>
      <c r="D19" s="85">
        <f t="shared" si="4"/>
        <v>29.166666666666632</v>
      </c>
      <c r="E19" s="15"/>
      <c r="F19" s="105" t="s">
        <v>56</v>
      </c>
      <c r="G19" s="21"/>
      <c r="H19" s="21"/>
      <c r="I19" s="21"/>
      <c r="J19" s="21"/>
      <c r="K19" s="21"/>
      <c r="L19" s="77"/>
      <c r="M19" s="15"/>
      <c r="N19" s="42"/>
      <c r="O19" s="86">
        <f aca="true" t="shared" si="14" ref="O19:U28">$B19*O$7^$D19</f>
        <v>8.881648346078901E-07</v>
      </c>
      <c r="P19" s="86">
        <f t="shared" si="14"/>
        <v>0.016239074764462666</v>
      </c>
      <c r="Q19" s="86">
        <f t="shared" si="14"/>
        <v>24.77089164163947</v>
      </c>
      <c r="R19" s="86">
        <f t="shared" si="14"/>
        <v>8626.244522917823</v>
      </c>
      <c r="S19" s="86">
        <f t="shared" si="14"/>
        <v>1126893.5414591813</v>
      </c>
      <c r="T19" s="86">
        <f t="shared" si="14"/>
        <v>73203217.49860898</v>
      </c>
      <c r="U19" s="87">
        <f t="shared" si="14"/>
        <v>2818136259.042827</v>
      </c>
      <c r="V19" s="15"/>
      <c r="W19" s="96">
        <f t="shared" si="6"/>
        <v>19402.65185858119</v>
      </c>
      <c r="X19" s="97">
        <f t="shared" si="7"/>
        <v>500363.1115902895</v>
      </c>
      <c r="Y19" s="98">
        <f t="shared" si="8"/>
        <v>16562.855479778613</v>
      </c>
      <c r="Z19" s="97">
        <f t="shared" si="9"/>
        <v>429453.07982602215</v>
      </c>
      <c r="AA19" s="98">
        <f t="shared" si="10"/>
        <v>16372.466339043678</v>
      </c>
      <c r="AB19" s="98">
        <f t="shared" si="11"/>
        <v>424684.84920885216</v>
      </c>
      <c r="AC19" s="91"/>
      <c r="AD19" s="92">
        <f t="shared" si="12"/>
        <v>16371.541585186778</v>
      </c>
    </row>
    <row r="20" spans="1:30" ht="12" customHeight="1">
      <c r="A20" s="15"/>
      <c r="B20" s="93">
        <f>IF(C20&gt;$K$1,0,'Ranges and Data'!$A$10)</f>
        <v>535.2234266961229</v>
      </c>
      <c r="C20" s="94">
        <f t="shared" si="13"/>
        <v>31411.583333333347</v>
      </c>
      <c r="D20" s="85">
        <f t="shared" si="4"/>
        <v>29.083333333333297</v>
      </c>
      <c r="E20" s="15"/>
      <c r="F20" s="105" t="s">
        <v>57</v>
      </c>
      <c r="G20" s="21"/>
      <c r="H20" s="21"/>
      <c r="I20" s="21"/>
      <c r="J20" s="21"/>
      <c r="K20" s="21"/>
      <c r="L20" s="77"/>
      <c r="M20" s="15"/>
      <c r="N20" s="42"/>
      <c r="O20" s="86">
        <f t="shared" si="14"/>
        <v>9.409778639747904E-07</v>
      </c>
      <c r="P20" s="86">
        <f t="shared" si="14"/>
        <v>0.016728992172915468</v>
      </c>
      <c r="Q20" s="86">
        <f t="shared" si="14"/>
        <v>24.989338718733784</v>
      </c>
      <c r="R20" s="86">
        <f t="shared" si="14"/>
        <v>8558.001814656936</v>
      </c>
      <c r="S20" s="86">
        <f t="shared" si="14"/>
        <v>1102522.8789530313</v>
      </c>
      <c r="T20" s="86">
        <f t="shared" si="14"/>
        <v>70771092.25870964</v>
      </c>
      <c r="U20" s="87">
        <f t="shared" si="14"/>
        <v>2696236049.010179</v>
      </c>
      <c r="V20" s="15"/>
      <c r="W20" s="96">
        <f t="shared" si="6"/>
        <v>19204.626893553872</v>
      </c>
      <c r="X20" s="97">
        <f t="shared" si="7"/>
        <v>493841.34879533545</v>
      </c>
      <c r="Y20" s="98">
        <f t="shared" si="8"/>
        <v>16401.227585936143</v>
      </c>
      <c r="Z20" s="97">
        <f t="shared" si="9"/>
        <v>424047.2458213513</v>
      </c>
      <c r="AA20" s="98">
        <f t="shared" si="10"/>
        <v>16213.231910876939</v>
      </c>
      <c r="AB20" s="98">
        <f t="shared" si="11"/>
        <v>419352.8885680443</v>
      </c>
      <c r="AC20" s="91"/>
      <c r="AD20" s="92">
        <f t="shared" si="12"/>
        <v>16212.31876732327</v>
      </c>
    </row>
    <row r="21" spans="1:30" ht="12" customHeight="1">
      <c r="A21" s="15"/>
      <c r="B21" s="93">
        <f>IF(C21&gt;$K$1,0,'Ranges and Data'!$A$10)</f>
        <v>535.2234266961229</v>
      </c>
      <c r="C21" s="94">
        <f t="shared" si="13"/>
        <v>31442.000000000015</v>
      </c>
      <c r="D21" s="85">
        <f t="shared" si="4"/>
        <v>28.99999999999996</v>
      </c>
      <c r="E21" s="15"/>
      <c r="F21" s="105" t="s">
        <v>58</v>
      </c>
      <c r="G21" s="21"/>
      <c r="H21" s="21"/>
      <c r="I21" s="21"/>
      <c r="J21" s="21"/>
      <c r="K21" s="21"/>
      <c r="L21" s="77"/>
      <c r="M21" s="15"/>
      <c r="N21" s="42"/>
      <c r="O21" s="86">
        <f t="shared" si="14"/>
        <v>9.969313194903318E-07</v>
      </c>
      <c r="P21" s="86">
        <f t="shared" si="14"/>
        <v>0.017233689922649193</v>
      </c>
      <c r="Q21" s="86">
        <f t="shared" si="14"/>
        <v>25.209712215198927</v>
      </c>
      <c r="R21" s="86">
        <f t="shared" si="14"/>
        <v>8490.298978320427</v>
      </c>
      <c r="S21" s="86">
        <f t="shared" si="14"/>
        <v>1078679.2664024795</v>
      </c>
      <c r="T21" s="86">
        <f t="shared" si="14"/>
        <v>68419772.66348924</v>
      </c>
      <c r="U21" s="87">
        <f t="shared" si="14"/>
        <v>2579608707.2280707</v>
      </c>
      <c r="V21" s="15"/>
      <c r="W21" s="96">
        <f t="shared" si="6"/>
        <v>19008.622986630362</v>
      </c>
      <c r="X21" s="97">
        <f t="shared" si="7"/>
        <v>487400.5894007778</v>
      </c>
      <c r="Y21" s="98">
        <f t="shared" si="8"/>
        <v>16241.176930758824</v>
      </c>
      <c r="Z21" s="97">
        <f t="shared" si="9"/>
        <v>418706.02127537027</v>
      </c>
      <c r="AA21" s="98">
        <f t="shared" si="10"/>
        <v>16055.546156110322</v>
      </c>
      <c r="AB21" s="98">
        <f t="shared" si="11"/>
        <v>414084.4715165985</v>
      </c>
      <c r="AC21" s="91"/>
      <c r="AD21" s="92">
        <f t="shared" si="12"/>
        <v>16054.644484495173</v>
      </c>
    </row>
    <row r="22" spans="1:30" ht="12" customHeight="1">
      <c r="A22" s="15"/>
      <c r="B22" s="93">
        <f>IF(C22&gt;$K$1,0,'Ranges and Data'!$A$10)</f>
        <v>535.2234266961229</v>
      </c>
      <c r="C22" s="94">
        <f t="shared" si="13"/>
        <v>31472.416666666682</v>
      </c>
      <c r="D22" s="85">
        <f t="shared" si="4"/>
        <v>28.916666666666625</v>
      </c>
      <c r="E22" s="15"/>
      <c r="F22" s="106" t="s">
        <v>59</v>
      </c>
      <c r="G22" s="21"/>
      <c r="H22" s="21"/>
      <c r="I22" s="21"/>
      <c r="J22" s="21"/>
      <c r="K22" s="21"/>
      <c r="L22" s="77"/>
      <c r="M22" s="15"/>
      <c r="N22" s="42"/>
      <c r="O22" s="86">
        <f t="shared" si="14"/>
        <v>1.0562119406109221E-06</v>
      </c>
      <c r="P22" s="86">
        <f t="shared" si="14"/>
        <v>0.017753613922473384</v>
      </c>
      <c r="Q22" s="86">
        <f t="shared" si="14"/>
        <v>25.43202911955056</v>
      </c>
      <c r="R22" s="86">
        <f t="shared" si="14"/>
        <v>8423.131742950978</v>
      </c>
      <c r="S22" s="86">
        <f t="shared" si="14"/>
        <v>1055351.3056087426</v>
      </c>
      <c r="T22" s="86">
        <f t="shared" si="14"/>
        <v>66146574.002430156</v>
      </c>
      <c r="U22" s="87">
        <f t="shared" si="14"/>
        <v>2468026152.550621</v>
      </c>
      <c r="V22" s="15"/>
      <c r="W22" s="96">
        <f t="shared" si="6"/>
        <v>18814.61951073538</v>
      </c>
      <c r="X22" s="97">
        <f t="shared" si="7"/>
        <v>481039.85928567406</v>
      </c>
      <c r="Y22" s="98">
        <f t="shared" si="8"/>
        <v>16082.688122832786</v>
      </c>
      <c r="Z22" s="97">
        <f t="shared" si="9"/>
        <v>413428.6599948237</v>
      </c>
      <c r="AA22" s="98">
        <f t="shared" si="10"/>
        <v>15899.394012741664</v>
      </c>
      <c r="AB22" s="98">
        <f t="shared" si="11"/>
        <v>408878.86638780247</v>
      </c>
      <c r="AC22" s="91"/>
      <c r="AD22" s="92">
        <f t="shared" si="12"/>
        <v>15898.503676293512</v>
      </c>
    </row>
    <row r="23" spans="1:30" ht="12" customHeight="1">
      <c r="A23" s="15"/>
      <c r="B23" s="93">
        <f>IF(C23&gt;$K$1,0,'Ranges and Data'!$A$10)</f>
        <v>535.2234266961229</v>
      </c>
      <c r="C23" s="94">
        <f t="shared" si="13"/>
        <v>31502.83333333335</v>
      </c>
      <c r="D23" s="85">
        <f t="shared" si="4"/>
        <v>28.833333333333286</v>
      </c>
      <c r="E23" s="15"/>
      <c r="F23" s="107" t="s">
        <v>63</v>
      </c>
      <c r="G23" s="21"/>
      <c r="H23" s="21"/>
      <c r="I23" s="21"/>
      <c r="J23" s="21"/>
      <c r="K23" s="21"/>
      <c r="L23" s="77"/>
      <c r="M23" s="15"/>
      <c r="N23" s="42"/>
      <c r="O23" s="86">
        <f t="shared" si="14"/>
        <v>1.119017570898892E-06</v>
      </c>
      <c r="P23" s="86">
        <f t="shared" si="14"/>
        <v>0.018289223533841423</v>
      </c>
      <c r="Q23" s="86">
        <f t="shared" si="14"/>
        <v>25.656306570121004</v>
      </c>
      <c r="R23" s="86">
        <f t="shared" si="14"/>
        <v>8356.495871379042</v>
      </c>
      <c r="S23" s="86">
        <f t="shared" si="14"/>
        <v>1032527.8448751656</v>
      </c>
      <c r="T23" s="86">
        <f t="shared" si="14"/>
        <v>63948900.76262694</v>
      </c>
      <c r="U23" s="87">
        <f t="shared" si="14"/>
        <v>2361270169.62161</v>
      </c>
      <c r="V23" s="15"/>
      <c r="W23" s="96">
        <f t="shared" si="6"/>
        <v>18622.59604931518</v>
      </c>
      <c r="X23" s="97">
        <f t="shared" si="7"/>
        <v>474758.1957753494</v>
      </c>
      <c r="Y23" s="98">
        <f t="shared" si="8"/>
        <v>15925.745920940582</v>
      </c>
      <c r="Z23" s="97">
        <f t="shared" si="9"/>
        <v>408214.4241972487</v>
      </c>
      <c r="AA23" s="98">
        <f t="shared" si="10"/>
        <v>15744.760565257999</v>
      </c>
      <c r="AB23" s="98">
        <f t="shared" si="11"/>
        <v>403735.34973635606</v>
      </c>
      <c r="AC23" s="91"/>
      <c r="AD23" s="92">
        <f t="shared" si="12"/>
        <v>15743.881428780593</v>
      </c>
    </row>
    <row r="24" spans="1:30" ht="12" customHeight="1">
      <c r="A24" s="15"/>
      <c r="B24" s="93">
        <f>IF(C24&gt;$K$1,0,'Ranges and Data'!$A$10)</f>
        <v>535.2234266961229</v>
      </c>
      <c r="C24" s="94">
        <f t="shared" si="13"/>
        <v>31533.25000000002</v>
      </c>
      <c r="D24" s="85">
        <f t="shared" si="4"/>
        <v>28.74999999999995</v>
      </c>
      <c r="E24" s="15"/>
      <c r="F24" s="107" t="s">
        <v>64</v>
      </c>
      <c r="G24" s="21"/>
      <c r="H24" s="21"/>
      <c r="I24" s="21"/>
      <c r="J24" s="21"/>
      <c r="K24" s="21"/>
      <c r="L24" s="77"/>
      <c r="M24" s="15"/>
      <c r="N24" s="42"/>
      <c r="O24" s="86">
        <f t="shared" si="14"/>
        <v>1.1855578183069624E-06</v>
      </c>
      <c r="P24" s="86">
        <f t="shared" si="14"/>
        <v>0.01884099197670382</v>
      </c>
      <c r="Q24" s="86">
        <f t="shared" si="14"/>
        <v>25.882561856380356</v>
      </c>
      <c r="R24" s="86">
        <f t="shared" si="14"/>
        <v>8290.387159955577</v>
      </c>
      <c r="S24" s="86">
        <f t="shared" si="14"/>
        <v>1010197.9736762672</v>
      </c>
      <c r="T24" s="86">
        <f t="shared" si="14"/>
        <v>61824243.6652587</v>
      </c>
      <c r="U24" s="87">
        <f t="shared" si="14"/>
        <v>2259131982.12373</v>
      </c>
      <c r="V24" s="15"/>
      <c r="W24" s="96">
        <f t="shared" si="6"/>
        <v>18432.53239418896</v>
      </c>
      <c r="X24" s="97">
        <f t="shared" si="7"/>
        <v>468554.6475092234</v>
      </c>
      <c r="Y24" s="98">
        <f t="shared" si="8"/>
        <v>15770.335232595542</v>
      </c>
      <c r="Z24" s="97">
        <f t="shared" si="9"/>
        <v>403062.58441788226</v>
      </c>
      <c r="AA24" s="98">
        <f t="shared" si="10"/>
        <v>15591.631043210831</v>
      </c>
      <c r="AB24" s="98">
        <f t="shared" si="11"/>
        <v>398653.20624766144</v>
      </c>
      <c r="AC24" s="91"/>
      <c r="AD24" s="92">
        <f t="shared" si="12"/>
        <v>15590.762973065488</v>
      </c>
    </row>
    <row r="25" spans="1:30" ht="12" customHeight="1">
      <c r="A25" s="15"/>
      <c r="B25" s="93">
        <f>IF(C25&gt;$K$1,0,'Ranges and Data'!$A$10)</f>
        <v>535.2234266961229</v>
      </c>
      <c r="C25" s="94">
        <f t="shared" si="13"/>
        <v>31563.666666666686</v>
      </c>
      <c r="D25" s="85">
        <f t="shared" si="4"/>
        <v>28.666666666666615</v>
      </c>
      <c r="E25" s="15"/>
      <c r="F25" s="107" t="s">
        <v>60</v>
      </c>
      <c r="G25" s="21"/>
      <c r="H25" s="21"/>
      <c r="I25" s="21"/>
      <c r="J25" s="21"/>
      <c r="K25" s="21"/>
      <c r="L25" s="77"/>
      <c r="M25" s="15"/>
      <c r="N25" s="42"/>
      <c r="O25" s="86">
        <f t="shared" si="14"/>
        <v>1.2560547547253498E-06</v>
      </c>
      <c r="P25" s="86">
        <f t="shared" si="14"/>
        <v>0.019409406747606085</v>
      </c>
      <c r="Q25" s="86">
        <f t="shared" si="14"/>
        <v>26.11081242026942</v>
      </c>
      <c r="R25" s="86">
        <f t="shared" si="14"/>
        <v>8224.801438286822</v>
      </c>
      <c r="S25" s="86">
        <f t="shared" si="14"/>
        <v>988351.0174420677</v>
      </c>
      <c r="T25" s="86">
        <f t="shared" si="14"/>
        <v>59770176.8005225</v>
      </c>
      <c r="U25" s="87">
        <f t="shared" si="14"/>
        <v>2161411844.487131</v>
      </c>
      <c r="V25" s="15"/>
      <c r="W25" s="96">
        <f t="shared" si="6"/>
        <v>18244.408543422145</v>
      </c>
      <c r="X25" s="97">
        <f t="shared" si="7"/>
        <v>462428.274310139</v>
      </c>
      <c r="Y25" s="98">
        <f t="shared" si="8"/>
        <v>15616.441112590332</v>
      </c>
      <c r="Z25" s="97">
        <f t="shared" si="9"/>
        <v>397972.4194175802</v>
      </c>
      <c r="AA25" s="98">
        <f t="shared" si="10"/>
        <v>15439.990819805285</v>
      </c>
      <c r="AB25" s="98">
        <f t="shared" si="11"/>
        <v>393631.7286480991</v>
      </c>
      <c r="AC25" s="91"/>
      <c r="AD25" s="92">
        <f t="shared" si="12"/>
        <v>15439.133683893375</v>
      </c>
    </row>
    <row r="26" spans="1:30" ht="12" customHeight="1">
      <c r="A26" s="15"/>
      <c r="B26" s="93">
        <f>IF(C26&gt;$K$1,0,'Ranges and Data'!$A$10)</f>
        <v>535.2234266961229</v>
      </c>
      <c r="C26" s="94">
        <f t="shared" si="13"/>
        <v>31594.083333333354</v>
      </c>
      <c r="D26" s="85">
        <f t="shared" si="4"/>
        <v>28.583333333333275</v>
      </c>
      <c r="E26" s="15"/>
      <c r="F26" s="108"/>
      <c r="G26" s="21"/>
      <c r="H26" s="21"/>
      <c r="I26" s="21"/>
      <c r="J26" s="21"/>
      <c r="K26" s="21"/>
      <c r="L26" s="77"/>
      <c r="M26" s="15"/>
      <c r="N26" s="42"/>
      <c r="O26" s="86">
        <f t="shared" si="14"/>
        <v>1.3307436571260342E-06</v>
      </c>
      <c r="P26" s="86">
        <f t="shared" si="14"/>
        <v>0.01999497005039988</v>
      </c>
      <c r="Q26" s="86">
        <f t="shared" si="14"/>
        <v>26.34107585754424</v>
      </c>
      <c r="R26" s="86">
        <f t="shared" si="14"/>
        <v>8159.734568971262</v>
      </c>
      <c r="S26" s="86">
        <f t="shared" si="14"/>
        <v>966976.532455224</v>
      </c>
      <c r="T26" s="86">
        <f t="shared" si="14"/>
        <v>57784354.857756585</v>
      </c>
      <c r="U26" s="87">
        <f t="shared" si="14"/>
        <v>2067918651.258946</v>
      </c>
      <c r="V26" s="15"/>
      <c r="W26" s="96">
        <f t="shared" si="6"/>
        <v>18058.204699221453</v>
      </c>
      <c r="X26" s="97">
        <f t="shared" si="7"/>
        <v>456378.1470551832</v>
      </c>
      <c r="Y26" s="98">
        <f t="shared" si="8"/>
        <v>15464.048761559763</v>
      </c>
      <c r="Z26" s="97">
        <f t="shared" si="9"/>
        <v>392943.2160917448</v>
      </c>
      <c r="AA26" s="98">
        <f t="shared" si="10"/>
        <v>15289.825410502932</v>
      </c>
      <c r="AB26" s="98">
        <f t="shared" si="11"/>
        <v>388670.21761628</v>
      </c>
      <c r="AC26" s="91"/>
      <c r="AD26" s="92">
        <f t="shared" si="12"/>
        <v>15288.979078248583</v>
      </c>
    </row>
    <row r="27" spans="1:30" ht="12" customHeight="1">
      <c r="A27" s="15"/>
      <c r="B27" s="93">
        <f>IF(C27&gt;$K$1,0,'Ranges and Data'!$A$10)</f>
        <v>535.2234266961229</v>
      </c>
      <c r="C27" s="94">
        <f t="shared" si="13"/>
        <v>31624.500000000022</v>
      </c>
      <c r="D27" s="85">
        <f t="shared" si="4"/>
        <v>28.49999999999994</v>
      </c>
      <c r="E27" s="15"/>
      <c r="F27" s="109" t="s">
        <v>65</v>
      </c>
      <c r="G27" s="110"/>
      <c r="H27" s="110"/>
      <c r="I27" s="110"/>
      <c r="J27" s="110"/>
      <c r="K27" s="111">
        <f>(1+D7)^((K1-C9)/365)-1</f>
        <v>32.72864346008112</v>
      </c>
      <c r="L27" s="110"/>
      <c r="M27" s="15"/>
      <c r="N27" s="42"/>
      <c r="O27" s="86">
        <f t="shared" si="14"/>
        <v>1.4098737927777535E-06</v>
      </c>
      <c r="P27" s="86">
        <f t="shared" si="14"/>
        <v>0.020598199239948323</v>
      </c>
      <c r="Q27" s="86">
        <f t="shared" si="14"/>
        <v>26.573369919132542</v>
      </c>
      <c r="R27" s="86">
        <f t="shared" si="14"/>
        <v>8095.182447338587</v>
      </c>
      <c r="S27" s="86">
        <f t="shared" si="14"/>
        <v>946064.3008585129</v>
      </c>
      <c r="T27" s="86">
        <f t="shared" si="14"/>
        <v>55864510.447590776</v>
      </c>
      <c r="U27" s="87">
        <f t="shared" si="14"/>
        <v>1978469563.3697343</v>
      </c>
      <c r="V27" s="15"/>
      <c r="W27" s="96">
        <f t="shared" si="6"/>
        <v>17873.90126585145</v>
      </c>
      <c r="X27" s="97">
        <f t="shared" si="7"/>
        <v>450403.3475479799</v>
      </c>
      <c r="Y27" s="98">
        <f t="shared" si="8"/>
        <v>15313.143524557625</v>
      </c>
      <c r="Z27" s="97">
        <f t="shared" si="9"/>
        <v>387974.26938024577</v>
      </c>
      <c r="AA27" s="98">
        <f t="shared" si="10"/>
        <v>15141.120471638309</v>
      </c>
      <c r="AB27" s="98">
        <f t="shared" si="11"/>
        <v>383767.9816952658</v>
      </c>
      <c r="AC27" s="91"/>
      <c r="AD27" s="92">
        <f t="shared" si="12"/>
        <v>15140.284813971266</v>
      </c>
    </row>
    <row r="28" spans="1:30" ht="12" customHeight="1">
      <c r="A28" s="15"/>
      <c r="B28" s="93">
        <f>IF(C28&gt;$K$1,0,'Ranges and Data'!$A$10)</f>
        <v>535.2234266961229</v>
      </c>
      <c r="C28" s="94">
        <f t="shared" si="13"/>
        <v>31654.91666666669</v>
      </c>
      <c r="D28" s="85">
        <f t="shared" si="4"/>
        <v>28.416666666666604</v>
      </c>
      <c r="E28" s="15"/>
      <c r="F28" s="108"/>
      <c r="G28" s="21"/>
      <c r="H28" s="21"/>
      <c r="I28" s="21"/>
      <c r="J28" s="21"/>
      <c r="K28" s="21"/>
      <c r="L28" s="21"/>
      <c r="M28" s="15"/>
      <c r="N28" s="42"/>
      <c r="O28" s="86">
        <f t="shared" si="14"/>
        <v>1.4937092511523948E-06</v>
      </c>
      <c r="P28" s="86">
        <f t="shared" si="14"/>
        <v>0.021219627279217772</v>
      </c>
      <c r="Q28" s="86">
        <f t="shared" si="14"/>
        <v>26.807712512502206</v>
      </c>
      <c r="R28" s="86">
        <f t="shared" si="14"/>
        <v>8031.141001190761</v>
      </c>
      <c r="S28" s="86">
        <f t="shared" si="14"/>
        <v>925604.3257702861</v>
      </c>
      <c r="T28" s="86">
        <f t="shared" si="14"/>
        <v>54008451.51306657</v>
      </c>
      <c r="U28" s="87">
        <f t="shared" si="14"/>
        <v>1892889650.5659838</v>
      </c>
      <c r="V28" s="15"/>
      <c r="W28" s="96">
        <f t="shared" si="6"/>
        <v>17691.47884757224</v>
      </c>
      <c r="X28" s="97">
        <f t="shared" si="7"/>
        <v>444502.96839243453</v>
      </c>
      <c r="Y28" s="98">
        <f t="shared" si="8"/>
        <v>15163.710889647338</v>
      </c>
      <c r="Z28" s="97">
        <f t="shared" si="9"/>
        <v>383064.88217832346</v>
      </c>
      <c r="AA28" s="98">
        <f t="shared" si="10"/>
        <v>14993.861799048735</v>
      </c>
      <c r="AB28" s="98">
        <f t="shared" si="11"/>
        <v>378924.3372057399</v>
      </c>
      <c r="AC28" s="91"/>
      <c r="AD28" s="92">
        <f t="shared" si="12"/>
        <v>14993.036688387429</v>
      </c>
    </row>
    <row r="29" spans="1:30" ht="12" customHeight="1">
      <c r="A29" s="15"/>
      <c r="B29" s="93">
        <f>IF(C29&gt;$K$1,0,'Ranges and Data'!$A$10)</f>
        <v>535.2234266961229</v>
      </c>
      <c r="C29" s="94">
        <f t="shared" si="13"/>
        <v>31685.333333333358</v>
      </c>
      <c r="D29" s="85">
        <f t="shared" si="4"/>
        <v>28.333333333333268</v>
      </c>
      <c r="E29" s="15"/>
      <c r="F29" s="108"/>
      <c r="G29" s="21"/>
      <c r="H29" s="21"/>
      <c r="I29" s="21"/>
      <c r="J29" s="21"/>
      <c r="K29" s="21"/>
      <c r="L29" s="21"/>
      <c r="M29" s="15"/>
      <c r="N29" s="42"/>
      <c r="O29" s="86">
        <f aca="true" t="shared" si="15" ref="O29:U38">$B29*O$7^$D29</f>
        <v>1.5825298252990278E-06</v>
      </c>
      <c r="P29" s="86">
        <f t="shared" si="15"/>
        <v>0.02185980321015929</v>
      </c>
      <c r="Q29" s="86">
        <f t="shared" si="15"/>
        <v>27.044121703041675</v>
      </c>
      <c r="R29" s="86">
        <f t="shared" si="15"/>
        <v>7967.60619054515</v>
      </c>
      <c r="S29" s="86">
        <f t="shared" si="15"/>
        <v>905586.826505564</v>
      </c>
      <c r="T29" s="86">
        <f t="shared" si="15"/>
        <v>52214058.8267709</v>
      </c>
      <c r="U29" s="87">
        <f t="shared" si="15"/>
        <v>1811011549.3094525</v>
      </c>
      <c r="V29" s="15"/>
      <c r="W29" s="96">
        <f t="shared" si="6"/>
        <v>17510.918246598376</v>
      </c>
      <c r="X29" s="97">
        <f t="shared" si="7"/>
        <v>438676.11286792177</v>
      </c>
      <c r="Y29" s="98">
        <f t="shared" si="8"/>
        <v>15015.736486506406</v>
      </c>
      <c r="Z29" s="97">
        <f t="shared" si="9"/>
        <v>378214.36524846556</v>
      </c>
      <c r="AA29" s="98">
        <f t="shared" si="10"/>
        <v>14848.035326717623</v>
      </c>
      <c r="AB29" s="98">
        <f t="shared" si="11"/>
        <v>374138.6081601284</v>
      </c>
      <c r="AC29" s="91"/>
      <c r="AD29" s="92">
        <f t="shared" si="12"/>
        <v>14847.220636952417</v>
      </c>
    </row>
    <row r="30" spans="1:30" ht="12" customHeight="1">
      <c r="A30" s="15"/>
      <c r="B30" s="93">
        <f>IF(C30&gt;$K$1,0,'Ranges and Data'!$A$10)</f>
        <v>535.2234266961229</v>
      </c>
      <c r="C30" s="94">
        <f t="shared" si="13"/>
        <v>31715.750000000025</v>
      </c>
      <c r="D30" s="85">
        <f t="shared" si="4"/>
        <v>28.24999999999993</v>
      </c>
      <c r="E30" s="15"/>
      <c r="F30" s="108"/>
      <c r="G30" s="21"/>
      <c r="H30" s="21"/>
      <c r="I30" s="21"/>
      <c r="J30" s="21"/>
      <c r="K30" s="21"/>
      <c r="L30" s="21"/>
      <c r="M30" s="15"/>
      <c r="N30" s="42"/>
      <c r="O30" s="86">
        <f t="shared" si="15"/>
        <v>1.676631945627189E-06</v>
      </c>
      <c r="P30" s="86">
        <f t="shared" si="15"/>
        <v>0.022519292638796366</v>
      </c>
      <c r="Q30" s="86">
        <f t="shared" si="15"/>
        <v>27.28261571545267</v>
      </c>
      <c r="R30" s="86">
        <f t="shared" si="15"/>
        <v>7904.574007379639</v>
      </c>
      <c r="S30" s="86">
        <f t="shared" si="15"/>
        <v>886002.2339004758</v>
      </c>
      <c r="T30" s="86">
        <f t="shared" si="15"/>
        <v>50479283.571125925</v>
      </c>
      <c r="U30" s="87">
        <f t="shared" si="15"/>
        <v>1732675135.4742448</v>
      </c>
      <c r="V30" s="15"/>
      <c r="W30" s="96">
        <f t="shared" si="6"/>
        <v>17332.200461078486</v>
      </c>
      <c r="X30" s="97">
        <f t="shared" si="7"/>
        <v>432921.89480589394</v>
      </c>
      <c r="Y30" s="98">
        <f t="shared" si="8"/>
        <v>14869.206085044496</v>
      </c>
      <c r="Z30" s="97">
        <f t="shared" si="9"/>
        <v>373422.0371332467</v>
      </c>
      <c r="AA30" s="98">
        <f t="shared" si="10"/>
        <v>14703.627125430856</v>
      </c>
      <c r="AB30" s="98">
        <f t="shared" si="11"/>
        <v>369410.1261776519</v>
      </c>
      <c r="AC30" s="91"/>
      <c r="AD30" s="92">
        <f t="shared" si="12"/>
        <v>14702.822731907489</v>
      </c>
    </row>
    <row r="31" spans="1:30" ht="12" customHeight="1">
      <c r="A31" s="15"/>
      <c r="B31" s="93">
        <f>IF(C31&gt;$K$1,0,'Ranges and Data'!$A$10)</f>
        <v>535.2234266961229</v>
      </c>
      <c r="C31" s="94">
        <f t="shared" si="13"/>
        <v>31746.166666666693</v>
      </c>
      <c r="D31" s="85">
        <f t="shared" si="4"/>
        <v>28.166666666666593</v>
      </c>
      <c r="E31" s="15"/>
      <c r="F31" s="108"/>
      <c r="G31" s="21"/>
      <c r="H31" s="21"/>
      <c r="I31" s="21"/>
      <c r="J31" s="21"/>
      <c r="K31" s="21"/>
      <c r="L31" s="21"/>
      <c r="M31" s="15"/>
      <c r="N31" s="42"/>
      <c r="O31" s="86">
        <f t="shared" si="15"/>
        <v>1.7763296692158278E-06</v>
      </c>
      <c r="P31" s="86">
        <f t="shared" si="15"/>
        <v>0.023198678234947014</v>
      </c>
      <c r="Q31" s="86">
        <f t="shared" si="15"/>
        <v>27.52321293515508</v>
      </c>
      <c r="R31" s="86">
        <f t="shared" si="15"/>
        <v>7842.040475379809</v>
      </c>
      <c r="S31" s="86">
        <f t="shared" si="15"/>
        <v>866841.1857378223</v>
      </c>
      <c r="T31" s="86">
        <f t="shared" si="15"/>
        <v>48802144.999071896</v>
      </c>
      <c r="U31" s="87">
        <f t="shared" si="15"/>
        <v>1657727211.2016277</v>
      </c>
      <c r="V31" s="15"/>
      <c r="W31" s="96">
        <f t="shared" si="6"/>
        <v>17155.30668309558</v>
      </c>
      <c r="X31" s="97">
        <f t="shared" si="7"/>
        <v>427239.4384678965</v>
      </c>
      <c r="Y31" s="98">
        <f t="shared" si="8"/>
        <v>14724.105594034994</v>
      </c>
      <c r="Z31" s="97">
        <f t="shared" si="9"/>
        <v>368687.2240691199</v>
      </c>
      <c r="AA31" s="98">
        <f t="shared" si="10"/>
        <v>14560.623401446306</v>
      </c>
      <c r="AB31" s="98">
        <f t="shared" si="11"/>
        <v>364738.2304003051</v>
      </c>
      <c r="AC31" s="91"/>
      <c r="AD31" s="92">
        <f t="shared" si="12"/>
        <v>14559.829180949515</v>
      </c>
    </row>
    <row r="32" spans="1:30" ht="12" customHeight="1">
      <c r="A32" s="15"/>
      <c r="B32" s="93">
        <f>IF(C32&gt;$K$1,0,'Ranges and Data'!$A$10)</f>
        <v>535.2234266961229</v>
      </c>
      <c r="C32" s="94">
        <f t="shared" si="13"/>
        <v>31776.58333333336</v>
      </c>
      <c r="D32" s="85">
        <f t="shared" si="4"/>
        <v>28.083333333333258</v>
      </c>
      <c r="E32" s="15"/>
      <c r="F32" s="108"/>
      <c r="G32" s="21"/>
      <c r="H32" s="21"/>
      <c r="I32" s="21"/>
      <c r="J32" s="21"/>
      <c r="K32" s="21"/>
      <c r="L32" s="21"/>
      <c r="M32" s="15"/>
      <c r="N32" s="42"/>
      <c r="O32" s="86">
        <f t="shared" si="15"/>
        <v>1.8819557279496313E-06</v>
      </c>
      <c r="P32" s="86">
        <f t="shared" si="15"/>
        <v>0.023898560247022464</v>
      </c>
      <c r="Q32" s="86">
        <f t="shared" si="15"/>
        <v>27.76593190970432</v>
      </c>
      <c r="R32" s="86">
        <f t="shared" si="15"/>
        <v>7780.001649688093</v>
      </c>
      <c r="S32" s="86">
        <f t="shared" si="15"/>
        <v>848094.5222715541</v>
      </c>
      <c r="T32" s="86">
        <f t="shared" si="15"/>
        <v>47180728.17247229</v>
      </c>
      <c r="U32" s="87">
        <f t="shared" si="15"/>
        <v>1586021205.3000715</v>
      </c>
      <c r="V32" s="15"/>
      <c r="W32" s="96">
        <f t="shared" si="6"/>
        <v>16980.218296687694</v>
      </c>
      <c r="X32" s="97">
        <f t="shared" si="7"/>
        <v>421627.8784249733</v>
      </c>
      <c r="Y32" s="98">
        <f t="shared" si="8"/>
        <v>14580.421059759883</v>
      </c>
      <c r="Z32" s="97">
        <f t="shared" si="9"/>
        <v>364009.259901148</v>
      </c>
      <c r="AA32" s="98">
        <f t="shared" si="10"/>
        <v>14419.010495176262</v>
      </c>
      <c r="AB32" s="98">
        <f t="shared" si="11"/>
        <v>360122.2674097489</v>
      </c>
      <c r="AC32" s="91"/>
      <c r="AD32" s="92">
        <f t="shared" si="12"/>
        <v>14418.226325913578</v>
      </c>
    </row>
    <row r="33" spans="1:30" ht="12" customHeight="1">
      <c r="A33" s="15"/>
      <c r="B33" s="93">
        <f>IF(C33&gt;$K$1,0,'Ranges and Data'!$A$10)</f>
        <v>535.2234266961229</v>
      </c>
      <c r="C33" s="94">
        <f t="shared" si="13"/>
        <v>31807.00000000003</v>
      </c>
      <c r="D33" s="85">
        <f t="shared" si="4"/>
        <v>27.999999999999922</v>
      </c>
      <c r="E33" s="15"/>
      <c r="F33" s="108"/>
      <c r="G33" s="21"/>
      <c r="H33" s="21"/>
      <c r="I33" s="21"/>
      <c r="J33" s="21"/>
      <c r="K33" s="21"/>
      <c r="L33" s="21"/>
      <c r="M33" s="15"/>
      <c r="N33" s="42"/>
      <c r="O33" s="86">
        <f t="shared" si="15"/>
        <v>1.9938626389807166E-06</v>
      </c>
      <c r="P33" s="86">
        <f t="shared" si="15"/>
        <v>0.024619557032356364</v>
      </c>
      <c r="Q33" s="86">
        <f t="shared" si="15"/>
        <v>28.010791350221144</v>
      </c>
      <c r="R33" s="86">
        <f t="shared" si="15"/>
        <v>7718.453616654906</v>
      </c>
      <c r="S33" s="86">
        <f t="shared" si="15"/>
        <v>829753.2818480529</v>
      </c>
      <c r="T33" s="86">
        <f t="shared" si="15"/>
        <v>45613181.77565879</v>
      </c>
      <c r="U33" s="87">
        <f t="shared" si="15"/>
        <v>1517416886.6047153</v>
      </c>
      <c r="V33" s="15"/>
      <c r="W33" s="96">
        <f t="shared" si="6"/>
        <v>16806.91687588883</v>
      </c>
      <c r="X33" s="97">
        <f t="shared" si="7"/>
        <v>416086.3594384491</v>
      </c>
      <c r="Y33" s="98">
        <f t="shared" si="8"/>
        <v>14438.138664667898</v>
      </c>
      <c r="Z33" s="97">
        <f t="shared" si="9"/>
        <v>359387.48599866923</v>
      </c>
      <c r="AA33" s="98">
        <f t="shared" si="10"/>
        <v>14278.77487988266</v>
      </c>
      <c r="AB33" s="98">
        <f t="shared" si="11"/>
        <v>355561.59114510845</v>
      </c>
      <c r="AC33" s="91"/>
      <c r="AD33" s="92">
        <f t="shared" si="12"/>
        <v>14278.000641468383</v>
      </c>
    </row>
    <row r="34" spans="1:30" ht="12" customHeight="1">
      <c r="A34" s="15"/>
      <c r="B34" s="93">
        <f>IF(C34&gt;$K$1,0,'Ranges and Data'!$A$10)</f>
        <v>535.2234266961229</v>
      </c>
      <c r="C34" s="94">
        <f t="shared" si="13"/>
        <v>31837.416666666697</v>
      </c>
      <c r="D34" s="85">
        <f t="shared" si="4"/>
        <v>27.916666666666583</v>
      </c>
      <c r="E34" s="15"/>
      <c r="F34" s="108"/>
      <c r="G34" s="21"/>
      <c r="H34" s="21"/>
      <c r="I34" s="21"/>
      <c r="J34" s="21"/>
      <c r="K34" s="21"/>
      <c r="L34" s="21"/>
      <c r="M34" s="15"/>
      <c r="N34" s="42"/>
      <c r="O34" s="86">
        <f t="shared" si="15"/>
        <v>2.1124238812219082E-06</v>
      </c>
      <c r="P34" s="86">
        <f t="shared" si="15"/>
        <v>0.02536230560353379</v>
      </c>
      <c r="Q34" s="86">
        <f t="shared" si="15"/>
        <v>28.25781013283408</v>
      </c>
      <c r="R34" s="86">
        <f t="shared" si="15"/>
        <v>7657.3924935917685</v>
      </c>
      <c r="S34" s="86">
        <f t="shared" si="15"/>
        <v>811808.696622101</v>
      </c>
      <c r="T34" s="86">
        <f t="shared" si="15"/>
        <v>44097716.00161935</v>
      </c>
      <c r="U34" s="87">
        <f t="shared" si="15"/>
        <v>1451780089.7356284</v>
      </c>
      <c r="V34" s="15"/>
      <c r="W34" s="96">
        <f t="shared" si="6"/>
        <v>16635.384182789818</v>
      </c>
      <c r="X34" s="97">
        <f t="shared" si="7"/>
        <v>410614.03634206986</v>
      </c>
      <c r="Y34" s="98">
        <f t="shared" si="8"/>
        <v>14297.244726045723</v>
      </c>
      <c r="Z34" s="97">
        <f t="shared" si="9"/>
        <v>354821.25117188174</v>
      </c>
      <c r="AA34" s="98">
        <f t="shared" si="10"/>
        <v>14139.90316038505</v>
      </c>
      <c r="AB34" s="98">
        <f t="shared" si="11"/>
        <v>351055.56282166706</v>
      </c>
      <c r="AC34" s="91"/>
      <c r="AD34" s="92">
        <f t="shared" si="12"/>
        <v>14139.13873382441</v>
      </c>
    </row>
    <row r="35" spans="1:30" ht="12" customHeight="1">
      <c r="A35" s="15"/>
      <c r="B35" s="93">
        <f>IF(C35&gt;$K$1,0,'Ranges and Data'!$A$10)</f>
        <v>535.2234266961229</v>
      </c>
      <c r="C35" s="94">
        <f t="shared" si="13"/>
        <v>31867.833333333365</v>
      </c>
      <c r="D35" s="85">
        <f t="shared" si="4"/>
        <v>27.833333333333247</v>
      </c>
      <c r="E35" s="15"/>
      <c r="F35" s="21"/>
      <c r="G35" s="21"/>
      <c r="H35" s="21"/>
      <c r="I35" s="21"/>
      <c r="J35" s="21"/>
      <c r="K35" s="21"/>
      <c r="L35" s="21"/>
      <c r="M35" s="15"/>
      <c r="N35" s="42"/>
      <c r="O35" s="86">
        <f t="shared" si="15"/>
        <v>2.2380351417978435E-06</v>
      </c>
      <c r="P35" s="86">
        <f t="shared" si="15"/>
        <v>0.02612746219120238</v>
      </c>
      <c r="Q35" s="86">
        <f t="shared" si="15"/>
        <v>28.50700730013456</v>
      </c>
      <c r="R35" s="86">
        <f t="shared" si="15"/>
        <v>7596.8144285263725</v>
      </c>
      <c r="S35" s="86">
        <f t="shared" si="15"/>
        <v>794252.188365504</v>
      </c>
      <c r="T35" s="86">
        <f t="shared" si="15"/>
        <v>42632600.508417234</v>
      </c>
      <c r="U35" s="87">
        <f t="shared" si="15"/>
        <v>1388982452.7185671</v>
      </c>
      <c r="V35" s="15"/>
      <c r="W35" s="96">
        <f t="shared" si="6"/>
        <v>16465.602165619</v>
      </c>
      <c r="X35" s="97">
        <f t="shared" si="7"/>
        <v>405210.0739254884</v>
      </c>
      <c r="Y35" s="98">
        <f t="shared" si="8"/>
        <v>14157.725694702225</v>
      </c>
      <c r="Z35" s="97">
        <f t="shared" si="9"/>
        <v>350309.9115893421</v>
      </c>
      <c r="AA35" s="98">
        <f t="shared" si="10"/>
        <v>14002.38207178109</v>
      </c>
      <c r="AB35" s="98">
        <f t="shared" si="11"/>
        <v>346603.5508504446</v>
      </c>
      <c r="AC35" s="91"/>
      <c r="AD35" s="92">
        <f t="shared" si="12"/>
        <v>14001.627339454586</v>
      </c>
    </row>
    <row r="36" spans="1:30" ht="12" customHeight="1">
      <c r="A36" s="15"/>
      <c r="B36" s="93">
        <f>IF(C36&gt;$K$1,0,'Ranges and Data'!$A$10)</f>
        <v>535.2234266961229</v>
      </c>
      <c r="C36" s="94">
        <f t="shared" si="13"/>
        <v>31898.250000000033</v>
      </c>
      <c r="D36" s="85">
        <f t="shared" si="4"/>
        <v>27.74999999999991</v>
      </c>
      <c r="E36" s="15"/>
      <c r="F36" s="21"/>
      <c r="G36" s="21"/>
      <c r="H36" s="21"/>
      <c r="I36" s="21"/>
      <c r="J36" s="21"/>
      <c r="K36" s="21"/>
      <c r="L36" s="21"/>
      <c r="M36" s="15"/>
      <c r="N36" s="42"/>
      <c r="O36" s="86">
        <f t="shared" si="15"/>
        <v>2.371115636613988E-06</v>
      </c>
      <c r="P36" s="86">
        <f t="shared" si="15"/>
        <v>0.02691570282386296</v>
      </c>
      <c r="Q36" s="86">
        <f t="shared" si="15"/>
        <v>28.758402062644954</v>
      </c>
      <c r="R36" s="86">
        <f t="shared" si="15"/>
        <v>7536.715599959585</v>
      </c>
      <c r="S36" s="86">
        <f t="shared" si="15"/>
        <v>777075.3643663509</v>
      </c>
      <c r="T36" s="86">
        <f t="shared" si="15"/>
        <v>41216162.44350517</v>
      </c>
      <c r="U36" s="87">
        <f t="shared" si="15"/>
        <v>1328901165.9551072</v>
      </c>
      <c r="V36" s="15"/>
      <c r="W36" s="96">
        <f t="shared" si="6"/>
        <v>16297.552956842499</v>
      </c>
      <c r="X36" s="97">
        <f t="shared" si="7"/>
        <v>399873.6468190786</v>
      </c>
      <c r="Y36" s="98">
        <f t="shared" si="8"/>
        <v>14019.568153665427</v>
      </c>
      <c r="Z36" s="97">
        <f t="shared" si="9"/>
        <v>345852.8306963625</v>
      </c>
      <c r="AA36" s="98">
        <f t="shared" si="10"/>
        <v>13866.198478179494</v>
      </c>
      <c r="AB36" s="98">
        <f t="shared" si="11"/>
        <v>342204.9307586528</v>
      </c>
      <c r="AC36" s="91"/>
      <c r="AD36" s="92">
        <f t="shared" si="12"/>
        <v>13865.453323827376</v>
      </c>
    </row>
    <row r="37" spans="1:30" ht="12" customHeight="1">
      <c r="A37" s="15"/>
      <c r="B37" s="93">
        <f>IF(C37&gt;$K$1,0,'Ranges and Data'!$A$10)</f>
        <v>535.2234266961229</v>
      </c>
      <c r="C37" s="94">
        <f t="shared" si="13"/>
        <v>31928.6666666667</v>
      </c>
      <c r="D37" s="85">
        <f t="shared" si="4"/>
        <v>27.666666666666572</v>
      </c>
      <c r="E37" s="15"/>
      <c r="F37" s="21"/>
      <c r="G37" s="21"/>
      <c r="H37" s="21"/>
      <c r="I37" s="21"/>
      <c r="J37" s="21"/>
      <c r="K37" s="21"/>
      <c r="L37" s="21"/>
      <c r="M37" s="15"/>
      <c r="N37" s="42"/>
      <c r="O37" s="86">
        <f t="shared" si="15"/>
        <v>2.512109509450775E-06</v>
      </c>
      <c r="P37" s="86">
        <f t="shared" si="15"/>
        <v>0.02772772392515197</v>
      </c>
      <c r="Q37" s="86">
        <f t="shared" si="15"/>
        <v>29.012013800299485</v>
      </c>
      <c r="R37" s="86">
        <f t="shared" si="15"/>
        <v>7477.092216624355</v>
      </c>
      <c r="S37" s="86">
        <f t="shared" si="15"/>
        <v>760270.0134169669</v>
      </c>
      <c r="T37" s="86">
        <f t="shared" si="15"/>
        <v>39846784.53368099</v>
      </c>
      <c r="U37" s="87">
        <f t="shared" si="15"/>
        <v>1271418732.0512245</v>
      </c>
      <c r="V37" s="15"/>
      <c r="W37" s="96">
        <f t="shared" si="6"/>
        <v>16131.218871283865</v>
      </c>
      <c r="X37" s="97">
        <f t="shared" si="7"/>
        <v>394603.93938006373</v>
      </c>
      <c r="Y37" s="98">
        <f t="shared" si="8"/>
        <v>13882.758816892285</v>
      </c>
      <c r="Z37" s="97">
        <f t="shared" si="9"/>
        <v>341449.3791343019</v>
      </c>
      <c r="AA37" s="98">
        <f t="shared" si="10"/>
        <v>13731.339371445272</v>
      </c>
      <c r="AB37" s="98">
        <f t="shared" si="11"/>
        <v>337859.08511101565</v>
      </c>
      <c r="AC37" s="91"/>
      <c r="AD37" s="92">
        <f t="shared" si="12"/>
        <v>13730.603680152264</v>
      </c>
    </row>
    <row r="38" spans="1:30" ht="12" customHeight="1">
      <c r="A38" s="15"/>
      <c r="B38" s="93">
        <f>IF(C38&gt;$K$1,0,'Ranges and Data'!$A$10)</f>
        <v>535.2234266961229</v>
      </c>
      <c r="C38" s="94">
        <f t="shared" si="13"/>
        <v>31959.08333333337</v>
      </c>
      <c r="D38" s="85">
        <f t="shared" si="4"/>
        <v>27.583333333333236</v>
      </c>
      <c r="E38" s="15"/>
      <c r="F38" s="21"/>
      <c r="G38" s="21"/>
      <c r="H38" s="21"/>
      <c r="I38" s="21"/>
      <c r="J38" s="21"/>
      <c r="K38" s="21"/>
      <c r="L38" s="21"/>
      <c r="M38" s="15"/>
      <c r="N38" s="42"/>
      <c r="O38" s="86">
        <f t="shared" si="15"/>
        <v>2.6614873142521395E-06</v>
      </c>
      <c r="P38" s="86">
        <f t="shared" si="15"/>
        <v>0.02856424292914307</v>
      </c>
      <c r="Q38" s="86">
        <f t="shared" si="15"/>
        <v>29.267862063938164</v>
      </c>
      <c r="R38" s="86">
        <f t="shared" si="15"/>
        <v>7417.940517246572</v>
      </c>
      <c r="S38" s="86">
        <f t="shared" si="15"/>
        <v>743828.1018886263</v>
      </c>
      <c r="T38" s="86">
        <f t="shared" si="15"/>
        <v>38522903.23850373</v>
      </c>
      <c r="U38" s="87">
        <f t="shared" si="15"/>
        <v>1216422736.0346484</v>
      </c>
      <c r="V38" s="15"/>
      <c r="W38" s="96">
        <f t="shared" si="6"/>
        <v>15966.582404262928</v>
      </c>
      <c r="X38" s="97">
        <f t="shared" si="7"/>
        <v>389400.1455799448</v>
      </c>
      <c r="Y38" s="98">
        <f t="shared" si="8"/>
        <v>13747.284527991034</v>
      </c>
      <c r="Z38" s="97">
        <f t="shared" si="9"/>
        <v>337098.9346607399</v>
      </c>
      <c r="AA38" s="98">
        <f t="shared" si="10"/>
        <v>13597.791869957287</v>
      </c>
      <c r="AB38" s="98">
        <f t="shared" si="11"/>
        <v>333565.4034319504</v>
      </c>
      <c r="AC38" s="91"/>
      <c r="AD38" s="92">
        <f t="shared" si="12"/>
        <v>13597.065528137364</v>
      </c>
    </row>
    <row r="39" spans="1:30" ht="12" customHeight="1">
      <c r="A39" s="15"/>
      <c r="B39" s="93">
        <f>IF(C39&gt;$K$1,0,'Ranges and Data'!$A$10)</f>
        <v>535.2234266961229</v>
      </c>
      <c r="C39" s="94">
        <f t="shared" si="13"/>
        <v>31989.500000000036</v>
      </c>
      <c r="D39" s="85">
        <f t="shared" si="4"/>
        <v>27.4999999999999</v>
      </c>
      <c r="E39" s="15"/>
      <c r="F39" s="21"/>
      <c r="G39" s="21"/>
      <c r="H39" s="21"/>
      <c r="I39" s="21"/>
      <c r="J39" s="21"/>
      <c r="K39" s="21"/>
      <c r="L39" s="21"/>
      <c r="M39" s="15"/>
      <c r="N39" s="42"/>
      <c r="O39" s="86">
        <f aca="true" t="shared" si="16" ref="O39:U48">$B39*O$7^$D39</f>
        <v>2.819747585555582E-06</v>
      </c>
      <c r="P39" s="86">
        <f t="shared" si="16"/>
        <v>0.029425998914212284</v>
      </c>
      <c r="Q39" s="86">
        <f t="shared" si="16"/>
        <v>29.525966576814067</v>
      </c>
      <c r="R39" s="86">
        <f t="shared" si="16"/>
        <v>7359.256770307777</v>
      </c>
      <c r="S39" s="86">
        <f t="shared" si="16"/>
        <v>727741.7698911565</v>
      </c>
      <c r="T39" s="86">
        <f t="shared" si="16"/>
        <v>37243006.96505995</v>
      </c>
      <c r="U39" s="87">
        <f t="shared" si="16"/>
        <v>1163805625.5115857</v>
      </c>
      <c r="V39" s="15"/>
      <c r="W39" s="96">
        <f t="shared" si="6"/>
        <v>15803.626229753634</v>
      </c>
      <c r="X39" s="97">
        <f t="shared" si="7"/>
        <v>384261.4688932125</v>
      </c>
      <c r="Y39" s="98">
        <f t="shared" si="8"/>
        <v>13613.132258955962</v>
      </c>
      <c r="Z39" s="97">
        <f t="shared" si="9"/>
        <v>332800.88207052054</v>
      </c>
      <c r="AA39" s="98">
        <f t="shared" si="10"/>
        <v>13465.543217377712</v>
      </c>
      <c r="AB39" s="98">
        <f t="shared" si="11"/>
        <v>329323.2821285922</v>
      </c>
      <c r="AC39" s="91"/>
      <c r="AD39" s="92">
        <f t="shared" si="12"/>
        <v>13464.826112759174</v>
      </c>
    </row>
    <row r="40" spans="1:30" ht="12" customHeight="1">
      <c r="A40" s="15"/>
      <c r="B40" s="93">
        <f>IF(C40&gt;$K$1,0,'Ranges and Data'!$A$10)</f>
        <v>535.2234266961229</v>
      </c>
      <c r="C40" s="94">
        <f t="shared" si="13"/>
        <v>32019.916666666704</v>
      </c>
      <c r="D40" s="85">
        <f t="shared" si="4"/>
        <v>27.416666666666565</v>
      </c>
      <c r="E40" s="15"/>
      <c r="F40" s="21"/>
      <c r="G40" s="21"/>
      <c r="H40" s="21"/>
      <c r="I40" s="21"/>
      <c r="J40" s="21"/>
      <c r="K40" s="21"/>
      <c r="L40" s="21"/>
      <c r="M40" s="15"/>
      <c r="N40" s="42"/>
      <c r="O40" s="86">
        <f t="shared" si="16"/>
        <v>2.987418502304869E-06</v>
      </c>
      <c r="P40" s="86">
        <f t="shared" si="16"/>
        <v>0.030313753256025793</v>
      </c>
      <c r="Q40" s="86">
        <f t="shared" si="16"/>
        <v>29.786347236113688</v>
      </c>
      <c r="R40" s="86">
        <f t="shared" si="16"/>
        <v>7301.037273809757</v>
      </c>
      <c r="S40" s="86">
        <f t="shared" si="16"/>
        <v>712003.3275155976</v>
      </c>
      <c r="T40" s="86">
        <f t="shared" si="16"/>
        <v>36005634.342043824</v>
      </c>
      <c r="U40" s="87">
        <f t="shared" si="16"/>
        <v>1113464500.33291</v>
      </c>
      <c r="V40" s="15"/>
      <c r="W40" s="96">
        <f t="shared" si="6"/>
        <v>15642.333198560698</v>
      </c>
      <c r="X40" s="97">
        <f t="shared" si="7"/>
        <v>379187.12218733056</v>
      </c>
      <c r="Y40" s="98">
        <f t="shared" si="8"/>
        <v>13480.28910891458</v>
      </c>
      <c r="Z40" s="97">
        <f t="shared" si="9"/>
        <v>328554.6131176628</v>
      </c>
      <c r="AA40" s="98">
        <f t="shared" si="10"/>
        <v>13334.580781433631</v>
      </c>
      <c r="AB40" s="98">
        <f t="shared" si="11"/>
        <v>325132.1244146612</v>
      </c>
      <c r="AC40" s="91"/>
      <c r="AD40" s="92">
        <f t="shared" si="12"/>
        <v>13333.872803044254</v>
      </c>
    </row>
    <row r="41" spans="1:30" ht="12" customHeight="1">
      <c r="A41" s="15"/>
      <c r="B41" s="93">
        <f>IF(C41&gt;$K$1,0,'Ranges and Data'!$A$10)</f>
        <v>535.2234266961229</v>
      </c>
      <c r="C41" s="94">
        <f t="shared" si="13"/>
        <v>32050.333333333372</v>
      </c>
      <c r="D41" s="85">
        <f t="shared" si="4"/>
        <v>27.333333333333226</v>
      </c>
      <c r="E41" s="15"/>
      <c r="F41" s="21"/>
      <c r="G41" s="21"/>
      <c r="H41" s="21"/>
      <c r="I41" s="21"/>
      <c r="J41" s="21"/>
      <c r="K41" s="21"/>
      <c r="L41" s="21"/>
      <c r="M41" s="15"/>
      <c r="N41" s="42"/>
      <c r="O41" s="86">
        <f t="shared" si="16"/>
        <v>3.1650596505981517E-06</v>
      </c>
      <c r="P41" s="86">
        <f t="shared" si="16"/>
        <v>0.031228290300228032</v>
      </c>
      <c r="Q41" s="86">
        <f t="shared" si="16"/>
        <v>30.049024114490884</v>
      </c>
      <c r="R41" s="86">
        <f t="shared" si="16"/>
        <v>7243.278355041014</v>
      </c>
      <c r="S41" s="86">
        <f t="shared" si="16"/>
        <v>696605.251158118</v>
      </c>
      <c r="T41" s="86">
        <f t="shared" si="16"/>
        <v>34809372.551180005</v>
      </c>
      <c r="U41" s="87">
        <f t="shared" si="16"/>
        <v>1065300911.358477</v>
      </c>
      <c r="V41" s="15"/>
      <c r="W41" s="96">
        <f t="shared" si="6"/>
        <v>15482.686336514842</v>
      </c>
      <c r="X41" s="97">
        <f t="shared" si="7"/>
        <v>374176.32761397347</v>
      </c>
      <c r="Y41" s="98">
        <f t="shared" si="8"/>
        <v>13348.742302886982</v>
      </c>
      <c r="Z41" s="97">
        <f t="shared" si="9"/>
        <v>324359.5264381219</v>
      </c>
      <c r="AA41" s="98">
        <f t="shared" si="10"/>
        <v>13204.89205271038</v>
      </c>
      <c r="AB41" s="98">
        <f t="shared" si="11"/>
        <v>320991.34023515787</v>
      </c>
      <c r="AC41" s="91"/>
      <c r="AD41" s="92">
        <f t="shared" si="12"/>
        <v>13204.193090862758</v>
      </c>
    </row>
    <row r="42" spans="1:30" ht="12" customHeight="1">
      <c r="A42" s="15"/>
      <c r="B42" s="93">
        <f>IF(C42&gt;$K$1,0,'Ranges and Data'!$A$10)</f>
        <v>535.2234266961229</v>
      </c>
      <c r="C42" s="94">
        <f t="shared" si="13"/>
        <v>32080.75000000004</v>
      </c>
      <c r="D42" s="85">
        <f t="shared" si="4"/>
        <v>27.24999999999989</v>
      </c>
      <c r="E42" s="15"/>
      <c r="F42" s="21"/>
      <c r="G42" s="21"/>
      <c r="H42" s="21"/>
      <c r="I42" s="21"/>
      <c r="J42" s="21"/>
      <c r="K42" s="21"/>
      <c r="L42" s="21"/>
      <c r="M42" s="15"/>
      <c r="N42" s="42"/>
      <c r="O42" s="86">
        <f t="shared" si="16"/>
        <v>3.353263891254468E-06</v>
      </c>
      <c r="P42" s="86">
        <f t="shared" si="16"/>
        <v>0.03217041805542381</v>
      </c>
      <c r="Q42" s="86">
        <f t="shared" si="16"/>
        <v>30.314017461614203</v>
      </c>
      <c r="R42" s="86">
        <f t="shared" si="16"/>
        <v>7185.976370345098</v>
      </c>
      <c r="S42" s="86">
        <f t="shared" si="16"/>
        <v>681540.179923436</v>
      </c>
      <c r="T42" s="86">
        <f t="shared" si="16"/>
        <v>33652855.71408343</v>
      </c>
      <c r="U42" s="87">
        <f t="shared" si="16"/>
        <v>1019220667.9260048</v>
      </c>
      <c r="V42" s="15"/>
      <c r="W42" s="96">
        <f t="shared" si="6"/>
        <v>15324.668842686473</v>
      </c>
      <c r="X42" s="97">
        <f t="shared" si="7"/>
        <v>369228.31650150724</v>
      </c>
      <c r="Y42" s="98">
        <f t="shared" si="8"/>
        <v>13218.479190557377</v>
      </c>
      <c r="Z42" s="97">
        <f t="shared" si="9"/>
        <v>320215.02747339936</v>
      </c>
      <c r="AA42" s="98">
        <f t="shared" si="10"/>
        <v>13076.464643456677</v>
      </c>
      <c r="AB42" s="98">
        <f t="shared" si="11"/>
        <v>316900.34619187994</v>
      </c>
      <c r="AC42" s="91"/>
      <c r="AD42" s="92">
        <f t="shared" si="12"/>
        <v>13075.774589733748</v>
      </c>
    </row>
    <row r="43" spans="1:30" ht="12" customHeight="1">
      <c r="A43" s="15"/>
      <c r="B43" s="93">
        <f>IF(C43&gt;$K$1,0,'Ranges and Data'!$A$10)</f>
        <v>535.2234266961229</v>
      </c>
      <c r="C43" s="94">
        <f t="shared" si="13"/>
        <v>32111.166666666708</v>
      </c>
      <c r="D43" s="85">
        <f t="shared" si="4"/>
        <v>27.166666666666554</v>
      </c>
      <c r="E43" s="15"/>
      <c r="F43" s="21"/>
      <c r="G43" s="21"/>
      <c r="H43" s="21"/>
      <c r="I43" s="21"/>
      <c r="J43" s="21"/>
      <c r="K43" s="21"/>
      <c r="L43" s="21"/>
      <c r="M43" s="15"/>
      <c r="N43" s="42"/>
      <c r="O43" s="86">
        <f t="shared" si="16"/>
        <v>3.5526593384317505E-06</v>
      </c>
      <c r="P43" s="86">
        <f t="shared" si="16"/>
        <v>0.03314096890706761</v>
      </c>
      <c r="Q43" s="86">
        <f t="shared" si="16"/>
        <v>30.58134770572799</v>
      </c>
      <c r="R43" s="86">
        <f t="shared" si="16"/>
        <v>7129.127704890711</v>
      </c>
      <c r="S43" s="86">
        <f t="shared" si="16"/>
        <v>666800.9121060106</v>
      </c>
      <c r="T43" s="86">
        <f t="shared" si="16"/>
        <v>32534763.3327141</v>
      </c>
      <c r="U43" s="87">
        <f t="shared" si="16"/>
        <v>975133653.6479957</v>
      </c>
      <c r="V43" s="15"/>
      <c r="W43" s="96">
        <f t="shared" si="6"/>
        <v>15168.264087617588</v>
      </c>
      <c r="X43" s="97">
        <f t="shared" si="7"/>
        <v>364342.32924869686</v>
      </c>
      <c r="Y43" s="98">
        <f t="shared" si="8"/>
        <v>13089.487245057482</v>
      </c>
      <c r="Z43" s="97">
        <f t="shared" si="9"/>
        <v>316120.52839498286</v>
      </c>
      <c r="AA43" s="98">
        <f t="shared" si="10"/>
        <v>12949.286286401342</v>
      </c>
      <c r="AB43" s="98">
        <f t="shared" si="11"/>
        <v>312858.56546975084</v>
      </c>
      <c r="AC43" s="91"/>
      <c r="AD43" s="92">
        <f t="shared" si="12"/>
        <v>12948.60503364202</v>
      </c>
    </row>
    <row r="44" spans="1:30" ht="12" customHeight="1">
      <c r="A44" s="15"/>
      <c r="B44" s="93">
        <f>IF(C44&gt;$K$1,0,'Ranges and Data'!$A$10)</f>
        <v>535.2234266961229</v>
      </c>
      <c r="C44" s="94">
        <f t="shared" si="13"/>
        <v>32141.583333333376</v>
      </c>
      <c r="D44" s="85">
        <f t="shared" si="4"/>
        <v>27.08333333333322</v>
      </c>
      <c r="E44" s="15"/>
      <c r="F44" s="21"/>
      <c r="G44" s="21"/>
      <c r="H44" s="21"/>
      <c r="I44" s="21"/>
      <c r="J44" s="21"/>
      <c r="K44" s="21"/>
      <c r="L44" s="21"/>
      <c r="M44" s="15"/>
      <c r="N44" s="42"/>
      <c r="O44" s="86">
        <f t="shared" si="16"/>
        <v>3.763911455899363E-06</v>
      </c>
      <c r="P44" s="86">
        <f t="shared" si="16"/>
        <v>0.03414080035288969</v>
      </c>
      <c r="Q44" s="86">
        <f t="shared" si="16"/>
        <v>30.851035455227144</v>
      </c>
      <c r="R44" s="86">
        <f t="shared" si="16"/>
        <v>7072.728772443693</v>
      </c>
      <c r="S44" s="86">
        <f t="shared" si="16"/>
        <v>652380.4017473429</v>
      </c>
      <c r="T44" s="86">
        <f t="shared" si="16"/>
        <v>31453818.78164771</v>
      </c>
      <c r="U44" s="87">
        <f t="shared" si="16"/>
        <v>932953650.1764928</v>
      </c>
      <c r="V44" s="15"/>
      <c r="W44" s="96">
        <f t="shared" si="6"/>
        <v>15013.455611571719</v>
      </c>
      <c r="X44" s="97">
        <f t="shared" si="7"/>
        <v>359517.61521962774</v>
      </c>
      <c r="Y44" s="98">
        <f t="shared" si="8"/>
        <v>12961.754061761922</v>
      </c>
      <c r="Z44" s="97">
        <f t="shared" si="9"/>
        <v>312075.44802961824</v>
      </c>
      <c r="AA44" s="98">
        <f t="shared" si="10"/>
        <v>12823.344833581537</v>
      </c>
      <c r="AB44" s="98">
        <f t="shared" si="11"/>
        <v>308865.4277639516</v>
      </c>
      <c r="AC44" s="91"/>
      <c r="AD44" s="92">
        <f t="shared" si="12"/>
        <v>12822.672275866566</v>
      </c>
    </row>
    <row r="45" spans="1:30" ht="12" customHeight="1">
      <c r="A45" s="15"/>
      <c r="B45" s="93">
        <f>IF(C45&gt;$K$1,0,'Ranges and Data'!$A$10)</f>
        <v>535.2234266961229</v>
      </c>
      <c r="C45" s="94">
        <f t="shared" si="13"/>
        <v>32172.000000000044</v>
      </c>
      <c r="D45" s="85">
        <f t="shared" si="4"/>
        <v>26.99999999999988</v>
      </c>
      <c r="E45" s="15"/>
      <c r="F45" s="21"/>
      <c r="G45" s="21"/>
      <c r="H45" s="21"/>
      <c r="I45" s="21"/>
      <c r="J45" s="21"/>
      <c r="K45" s="21"/>
      <c r="L45" s="21"/>
      <c r="M45" s="15"/>
      <c r="N45" s="42"/>
      <c r="O45" s="86">
        <f t="shared" si="16"/>
        <v>3.9877252779615536E-06</v>
      </c>
      <c r="P45" s="86">
        <f t="shared" si="16"/>
        <v>0.03517079576050962</v>
      </c>
      <c r="Q45" s="86">
        <f t="shared" si="16"/>
        <v>31.123101500245852</v>
      </c>
      <c r="R45" s="86">
        <f t="shared" si="16"/>
        <v>7016.776015140794</v>
      </c>
      <c r="S45" s="86">
        <f t="shared" si="16"/>
        <v>638271.755267726</v>
      </c>
      <c r="T45" s="86">
        <f t="shared" si="16"/>
        <v>30408787.850438673</v>
      </c>
      <c r="U45" s="87">
        <f t="shared" si="16"/>
        <v>892598168.5909902</v>
      </c>
      <c r="V45" s="15"/>
      <c r="W45" s="96">
        <f t="shared" si="6"/>
        <v>14860.227122801716</v>
      </c>
      <c r="X45" s="97">
        <f t="shared" si="7"/>
        <v>354753.4326398272</v>
      </c>
      <c r="Y45" s="98">
        <f t="shared" si="8"/>
        <v>12835.267357095301</v>
      </c>
      <c r="Z45" s="97">
        <f t="shared" si="9"/>
        <v>308079.21178539627</v>
      </c>
      <c r="AA45" s="98">
        <f t="shared" si="10"/>
        <v>12698.62825518242</v>
      </c>
      <c r="AB45" s="98">
        <f t="shared" si="11"/>
        <v>304920.3692078482</v>
      </c>
      <c r="AC45" s="91"/>
      <c r="AD45" s="92">
        <f t="shared" si="12"/>
        <v>12697.964287820334</v>
      </c>
    </row>
    <row r="46" spans="1:30" ht="12" customHeight="1">
      <c r="A46" s="15"/>
      <c r="B46" s="93">
        <f>IF(C46&gt;$K$1,0,'Ranges and Data'!$A$10)</f>
        <v>535.2234266961229</v>
      </c>
      <c r="C46" s="94">
        <f t="shared" si="13"/>
        <v>32202.41666666671</v>
      </c>
      <c r="D46" s="85">
        <f t="shared" si="4"/>
        <v>26.916666666666544</v>
      </c>
      <c r="E46" s="15"/>
      <c r="F46" s="21"/>
      <c r="G46" s="21"/>
      <c r="H46" s="21"/>
      <c r="I46" s="21"/>
      <c r="J46" s="21"/>
      <c r="K46" s="21"/>
      <c r="L46" s="21"/>
      <c r="M46" s="15"/>
      <c r="N46" s="42"/>
      <c r="O46" s="86">
        <f t="shared" si="16"/>
        <v>4.22484776244393E-06</v>
      </c>
      <c r="P46" s="86">
        <f t="shared" si="16"/>
        <v>0.03623186514790597</v>
      </c>
      <c r="Q46" s="86">
        <f t="shared" si="16"/>
        <v>31.39756681426022</v>
      </c>
      <c r="R46" s="86">
        <f t="shared" si="16"/>
        <v>6961.265903265216</v>
      </c>
      <c r="S46" s="86">
        <f t="shared" si="16"/>
        <v>624468.22817084</v>
      </c>
      <c r="T46" s="86">
        <f t="shared" si="16"/>
        <v>29398477.334412448</v>
      </c>
      <c r="U46" s="87">
        <f t="shared" si="16"/>
        <v>853988288.0797634</v>
      </c>
      <c r="V46" s="15"/>
      <c r="W46" s="96">
        <f t="shared" si="6"/>
        <v>14708.562495835306</v>
      </c>
      <c r="X46" s="97">
        <f t="shared" si="7"/>
        <v>350049.0484935737</v>
      </c>
      <c r="Y46" s="98">
        <f t="shared" si="8"/>
        <v>12710.014967350971</v>
      </c>
      <c r="Z46" s="97">
        <f t="shared" si="9"/>
        <v>304131.25157864887</v>
      </c>
      <c r="AA46" s="98">
        <f t="shared" si="10"/>
        <v>12575.124638388052</v>
      </c>
      <c r="AB46" s="98">
        <f t="shared" si="11"/>
        <v>301022.8323017044</v>
      </c>
      <c r="AC46" s="91"/>
      <c r="AD46" s="92">
        <f t="shared" si="12"/>
        <v>12574.46915790134</v>
      </c>
    </row>
    <row r="47" spans="1:30" ht="12" customHeight="1">
      <c r="A47" s="15"/>
      <c r="B47" s="93">
        <f>IF(C47&gt;$K$1,0,'Ranges and Data'!$A$10)</f>
        <v>535.2234266961229</v>
      </c>
      <c r="C47" s="94">
        <f t="shared" si="13"/>
        <v>32232.83333333338</v>
      </c>
      <c r="D47" s="85">
        <f t="shared" si="4"/>
        <v>26.833333333333208</v>
      </c>
      <c r="E47" s="15"/>
      <c r="F47" s="21"/>
      <c r="G47" s="21"/>
      <c r="H47" s="21"/>
      <c r="I47" s="21"/>
      <c r="J47" s="21"/>
      <c r="K47" s="21"/>
      <c r="L47" s="21"/>
      <c r="M47" s="15"/>
      <c r="N47" s="42"/>
      <c r="O47" s="86">
        <f t="shared" si="16"/>
        <v>4.4760702835958065E-06</v>
      </c>
      <c r="P47" s="86">
        <f t="shared" si="16"/>
        <v>0.03732494598743254</v>
      </c>
      <c r="Q47" s="86">
        <f t="shared" si="16"/>
        <v>31.674452555705198</v>
      </c>
      <c r="R47" s="86">
        <f t="shared" si="16"/>
        <v>6906.194935023948</v>
      </c>
      <c r="S47" s="86">
        <f t="shared" si="16"/>
        <v>610963.2218196118</v>
      </c>
      <c r="T47" s="86">
        <f t="shared" si="16"/>
        <v>28421733.67227772</v>
      </c>
      <c r="U47" s="87">
        <f t="shared" si="16"/>
        <v>817048501.5991399</v>
      </c>
      <c r="V47" s="15"/>
      <c r="W47" s="96">
        <f t="shared" si="6"/>
        <v>14558.445769778005</v>
      </c>
      <c r="X47" s="97">
        <f t="shared" si="7"/>
        <v>345403.7384223766</v>
      </c>
      <c r="Y47" s="98">
        <f t="shared" si="8"/>
        <v>12585.984847521253</v>
      </c>
      <c r="Z47" s="97">
        <f t="shared" si="9"/>
        <v>300231.0057616447</v>
      </c>
      <c r="AA47" s="98">
        <f t="shared" si="10"/>
        <v>12452.822186243502</v>
      </c>
      <c r="AB47" s="98">
        <f t="shared" si="11"/>
        <v>297172.2658421717</v>
      </c>
      <c r="AC47" s="91"/>
      <c r="AD47" s="92">
        <f t="shared" si="12"/>
        <v>12452.175090354858</v>
      </c>
    </row>
    <row r="48" spans="1:30" ht="12" customHeight="1">
      <c r="A48" s="15"/>
      <c r="B48" s="93">
        <f>IF(C48&gt;$K$1,0,'Ranges and Data'!$A$10)</f>
        <v>535.2234266961229</v>
      </c>
      <c r="C48" s="94">
        <f t="shared" si="13"/>
        <v>32263.250000000047</v>
      </c>
      <c r="D48" s="85">
        <f t="shared" si="4"/>
        <v>26.749999999999872</v>
      </c>
      <c r="E48" s="15"/>
      <c r="F48" s="21"/>
      <c r="G48" s="21"/>
      <c r="H48" s="21"/>
      <c r="I48" s="21"/>
      <c r="J48" s="21"/>
      <c r="K48" s="21"/>
      <c r="L48" s="21"/>
      <c r="M48" s="15"/>
      <c r="N48" s="42"/>
      <c r="O48" s="86">
        <f t="shared" si="16"/>
        <v>4.742231273228103E-06</v>
      </c>
      <c r="P48" s="86">
        <f t="shared" si="16"/>
        <v>0.038451004034090526</v>
      </c>
      <c r="Q48" s="86">
        <f t="shared" si="16"/>
        <v>31.953780069605635</v>
      </c>
      <c r="R48" s="86">
        <f t="shared" si="16"/>
        <v>6851.559636326869</v>
      </c>
      <c r="S48" s="86">
        <f t="shared" si="16"/>
        <v>597750.2802818025</v>
      </c>
      <c r="T48" s="86">
        <f t="shared" si="16"/>
        <v>27477441.629002977</v>
      </c>
      <c r="U48" s="87">
        <f t="shared" si="16"/>
        <v>781706568.2088702</v>
      </c>
      <c r="V48" s="15"/>
      <c r="W48" s="96">
        <f t="shared" si="6"/>
        <v>14409.861146633442</v>
      </c>
      <c r="X48" s="97">
        <f t="shared" si="7"/>
        <v>340816.7866246178</v>
      </c>
      <c r="Y48" s="98">
        <f t="shared" si="8"/>
        <v>12463.16507013917</v>
      </c>
      <c r="Z48" s="97">
        <f t="shared" si="9"/>
        <v>296377.9190510776</v>
      </c>
      <c r="AA48" s="98">
        <f t="shared" si="10"/>
        <v>12331.709216528006</v>
      </c>
      <c r="AB48" s="98">
        <f t="shared" si="11"/>
        <v>293368.1248525498</v>
      </c>
      <c r="AC48" s="91"/>
      <c r="AD48" s="92">
        <f t="shared" si="12"/>
        <v>12331.070404146809</v>
      </c>
    </row>
    <row r="49" spans="1:30" ht="12" customHeight="1">
      <c r="A49" s="15"/>
      <c r="B49" s="93">
        <f>IF(C49&gt;$K$1,0,'Ranges and Data'!$A$10)</f>
        <v>535.2234266961229</v>
      </c>
      <c r="C49" s="94">
        <f t="shared" si="13"/>
        <v>32293.666666666715</v>
      </c>
      <c r="D49" s="85">
        <f t="shared" si="4"/>
        <v>26.666666666666533</v>
      </c>
      <c r="E49" s="15"/>
      <c r="F49" s="21"/>
      <c r="G49" s="21"/>
      <c r="H49" s="21"/>
      <c r="I49" s="21"/>
      <c r="J49" s="21"/>
      <c r="K49" s="21"/>
      <c r="L49" s="21"/>
      <c r="M49" s="15"/>
      <c r="N49" s="42"/>
      <c r="O49" s="86">
        <f aca="true" t="shared" si="17" ref="O49:U58">$B49*O$7^$D49</f>
        <v>5.024219018901685E-06</v>
      </c>
      <c r="P49" s="86">
        <f t="shared" si="17"/>
        <v>0.03961103417878913</v>
      </c>
      <c r="Q49" s="86">
        <f t="shared" si="17"/>
        <v>32.23557088922178</v>
      </c>
      <c r="R49" s="86">
        <f t="shared" si="17"/>
        <v>6797.3565605675685</v>
      </c>
      <c r="S49" s="86">
        <f t="shared" si="17"/>
        <v>584823.0872438148</v>
      </c>
      <c r="T49" s="86">
        <f t="shared" si="17"/>
        <v>26564523.022453588</v>
      </c>
      <c r="U49" s="87">
        <f t="shared" si="17"/>
        <v>747893371.7948221</v>
      </c>
      <c r="V49" s="15"/>
      <c r="W49" s="96">
        <f t="shared" si="6"/>
        <v>14262.792989640833</v>
      </c>
      <c r="X49" s="97">
        <f t="shared" si="7"/>
        <v>336287.4857563398</v>
      </c>
      <c r="Y49" s="98">
        <f t="shared" si="8"/>
        <v>12341.54382413138</v>
      </c>
      <c r="Z49" s="97">
        <f t="shared" si="9"/>
        <v>292571.4424573361</v>
      </c>
      <c r="AA49" s="98">
        <f t="shared" si="10"/>
        <v>12211.774160639103</v>
      </c>
      <c r="AB49" s="98">
        <f t="shared" si="11"/>
        <v>289609.8705138072</v>
      </c>
      <c r="AC49" s="91"/>
      <c r="AD49" s="92">
        <f t="shared" si="12"/>
        <v>12211.143531847978</v>
      </c>
    </row>
    <row r="50" spans="1:30" ht="12" customHeight="1">
      <c r="A50" s="15"/>
      <c r="B50" s="93">
        <f>IF(C50&gt;$K$1,0,'Ranges and Data'!$A$10)</f>
        <v>535.2234266961229</v>
      </c>
      <c r="C50" s="94">
        <f t="shared" si="13"/>
        <v>32324.083333333383</v>
      </c>
      <c r="D50" s="85">
        <f t="shared" si="4"/>
        <v>26.583333333333197</v>
      </c>
      <c r="E50" s="15"/>
      <c r="F50" s="21"/>
      <c r="G50" s="21"/>
      <c r="H50" s="21"/>
      <c r="I50" s="21"/>
      <c r="J50" s="21"/>
      <c r="K50" s="21"/>
      <c r="L50" s="21"/>
      <c r="M50" s="15"/>
      <c r="N50" s="42"/>
      <c r="O50" s="86">
        <f t="shared" si="17"/>
        <v>5.322974628504422E-06</v>
      </c>
      <c r="P50" s="86">
        <f t="shared" si="17"/>
        <v>0.04080606132734786</v>
      </c>
      <c r="Q50" s="86">
        <f t="shared" si="17"/>
        <v>32.519846737709216</v>
      </c>
      <c r="R50" s="86">
        <f t="shared" si="17"/>
        <v>6743.582288405952</v>
      </c>
      <c r="S50" s="86">
        <f t="shared" si="17"/>
        <v>572175.4629912454</v>
      </c>
      <c r="T50" s="86">
        <f t="shared" si="17"/>
        <v>25681935.49233543</v>
      </c>
      <c r="U50" s="87">
        <f t="shared" si="17"/>
        <v>715542785.9027205</v>
      </c>
      <c r="V50" s="15"/>
      <c r="W50" s="96">
        <f t="shared" si="6"/>
        <v>14117.2258216294</v>
      </c>
      <c r="X50" s="97">
        <f t="shared" si="7"/>
        <v>331815.1368331679</v>
      </c>
      <c r="Y50" s="98">
        <f t="shared" si="8"/>
        <v>12221.109413682398</v>
      </c>
      <c r="Z50" s="97">
        <f t="shared" si="9"/>
        <v>288811.0332145489</v>
      </c>
      <c r="AA50" s="98">
        <f t="shared" si="10"/>
        <v>12093.005562487613</v>
      </c>
      <c r="AB50" s="98">
        <f t="shared" si="11"/>
        <v>285896.9700963551</v>
      </c>
      <c r="AC50" s="91"/>
      <c r="AD50" s="92">
        <f t="shared" si="12"/>
        <v>12092.383018529195</v>
      </c>
    </row>
    <row r="51" spans="1:30" ht="12" customHeight="1">
      <c r="A51" s="15"/>
      <c r="B51" s="93">
        <f>IF(C51&gt;$K$1,0,'Ranges and Data'!$A$10)</f>
        <v>535.2234266961229</v>
      </c>
      <c r="C51" s="94">
        <f t="shared" si="13"/>
        <v>32354.50000000005</v>
      </c>
      <c r="D51" s="85">
        <f t="shared" si="4"/>
        <v>26.49999999999986</v>
      </c>
      <c r="E51" s="15"/>
      <c r="F51" s="21"/>
      <c r="G51" s="21"/>
      <c r="H51" s="21"/>
      <c r="I51" s="21"/>
      <c r="J51" s="21"/>
      <c r="K51" s="21"/>
      <c r="L51" s="21"/>
      <c r="M51" s="15"/>
      <c r="N51" s="42"/>
      <c r="O51" s="86">
        <f t="shared" si="17"/>
        <v>5.639495171111316E-06</v>
      </c>
      <c r="P51" s="86">
        <f t="shared" si="17"/>
        <v>0.04203714130601819</v>
      </c>
      <c r="Q51" s="86">
        <f t="shared" si="17"/>
        <v>32.80662952979354</v>
      </c>
      <c r="R51" s="86">
        <f t="shared" si="17"/>
        <v>6690.233427552498</v>
      </c>
      <c r="S51" s="86">
        <f t="shared" si="17"/>
        <v>559801.3614547297</v>
      </c>
      <c r="T51" s="86">
        <f t="shared" si="17"/>
        <v>24828671.310039543</v>
      </c>
      <c r="U51" s="87">
        <f t="shared" si="17"/>
        <v>684591544.4185654</v>
      </c>
      <c r="V51" s="15"/>
      <c r="W51" s="96">
        <f t="shared" si="6"/>
        <v>13973.144323389533</v>
      </c>
      <c r="X51" s="97">
        <f t="shared" si="7"/>
        <v>327399.04913335165</v>
      </c>
      <c r="Y51" s="98">
        <f t="shared" si="8"/>
        <v>12101.850257109827</v>
      </c>
      <c r="Z51" s="97">
        <f t="shared" si="9"/>
        <v>285096.154711395</v>
      </c>
      <c r="AA51" s="98">
        <f t="shared" si="10"/>
        <v>11975.39207740334</v>
      </c>
      <c r="AB51" s="98">
        <f t="shared" si="11"/>
        <v>282228.8968925646</v>
      </c>
      <c r="AC51" s="91"/>
      <c r="AD51" s="92">
        <f t="shared" si="12"/>
        <v>11974.777520667156</v>
      </c>
    </row>
    <row r="52" spans="1:30" ht="12" customHeight="1">
      <c r="A52" s="15"/>
      <c r="B52" s="93">
        <f>IF(C52&gt;$K$1,0,'Ranges and Data'!$A$10)</f>
        <v>535.2234266961229</v>
      </c>
      <c r="C52" s="94">
        <f t="shared" si="13"/>
        <v>32384.91666666672</v>
      </c>
      <c r="D52" s="85">
        <f t="shared" si="4"/>
        <v>26.416666666666522</v>
      </c>
      <c r="E52" s="15"/>
      <c r="F52" s="21"/>
      <c r="G52" s="21"/>
      <c r="H52" s="21"/>
      <c r="I52" s="21"/>
      <c r="J52" s="21"/>
      <c r="K52" s="21"/>
      <c r="L52" s="21"/>
      <c r="M52" s="15"/>
      <c r="N52" s="42"/>
      <c r="O52" s="86">
        <f t="shared" si="17"/>
        <v>5.9748370046099196E-06</v>
      </c>
      <c r="P52" s="86">
        <f t="shared" si="17"/>
        <v>0.04330536179432322</v>
      </c>
      <c r="Q52" s="86">
        <f t="shared" si="17"/>
        <v>33.0959413734598</v>
      </c>
      <c r="R52" s="86">
        <f t="shared" si="17"/>
        <v>6637.306612554296</v>
      </c>
      <c r="S52" s="86">
        <f t="shared" si="17"/>
        <v>547694.867319684</v>
      </c>
      <c r="T52" s="86">
        <f t="shared" si="17"/>
        <v>24003756.228028808</v>
      </c>
      <c r="U52" s="87">
        <f t="shared" si="17"/>
        <v>654979117.8428732</v>
      </c>
      <c r="V52" s="15"/>
      <c r="W52" s="96">
        <f t="shared" si="6"/>
        <v>13830.53333206067</v>
      </c>
      <c r="X52" s="97">
        <f t="shared" si="7"/>
        <v>323038.54010191635</v>
      </c>
      <c r="Y52" s="98">
        <f t="shared" si="8"/>
        <v>11983.7548857506</v>
      </c>
      <c r="Z52" s="97">
        <f t="shared" si="9"/>
        <v>281426.27642267215</v>
      </c>
      <c r="AA52" s="98">
        <f t="shared" si="10"/>
        <v>11858.922471051459</v>
      </c>
      <c r="AB52" s="98">
        <f t="shared" si="11"/>
        <v>278605.13015002274</v>
      </c>
      <c r="AC52" s="91"/>
      <c r="AD52" s="92">
        <f t="shared" si="12"/>
        <v>11858.315805060942</v>
      </c>
    </row>
    <row r="53" spans="1:30" ht="12" customHeight="1">
      <c r="A53" s="15"/>
      <c r="B53" s="93">
        <f>IF(C53&gt;$K$1,0,'Ranges and Data'!$A$10)</f>
        <v>535.2234266961229</v>
      </c>
      <c r="C53" s="94">
        <f t="shared" si="13"/>
        <v>32415.333333333387</v>
      </c>
      <c r="D53" s="85">
        <f t="shared" si="4"/>
        <v>26.333333333333186</v>
      </c>
      <c r="E53" s="15"/>
      <c r="F53" s="21"/>
      <c r="G53" s="21"/>
      <c r="H53" s="21"/>
      <c r="I53" s="21"/>
      <c r="J53" s="21"/>
      <c r="K53" s="21"/>
      <c r="L53" s="21"/>
      <c r="M53" s="15"/>
      <c r="N53" s="42"/>
      <c r="O53" s="86">
        <f t="shared" si="17"/>
        <v>6.330119301196472E-06</v>
      </c>
      <c r="P53" s="86">
        <f t="shared" si="17"/>
        <v>0.04461184328604065</v>
      </c>
      <c r="Q53" s="86">
        <f t="shared" si="17"/>
        <v>33.38780457165667</v>
      </c>
      <c r="R53" s="86">
        <f t="shared" si="17"/>
        <v>6584.798504582717</v>
      </c>
      <c r="S53" s="86">
        <f t="shared" si="17"/>
        <v>535850.193198547</v>
      </c>
      <c r="T53" s="86">
        <f t="shared" si="17"/>
        <v>23206248.367452983</v>
      </c>
      <c r="U53" s="87">
        <f t="shared" si="17"/>
        <v>626647594.9167378</v>
      </c>
      <c r="V53" s="15"/>
      <c r="W53" s="96">
        <f t="shared" si="6"/>
        <v>13689.3778395356</v>
      </c>
      <c r="X53" s="97">
        <f t="shared" si="7"/>
        <v>318732.93525591114</v>
      </c>
      <c r="Y53" s="98">
        <f t="shared" si="8"/>
        <v>11866.811942858118</v>
      </c>
      <c r="Z53" s="97">
        <f t="shared" si="9"/>
        <v>277800.87384161557</v>
      </c>
      <c r="AA53" s="98">
        <f t="shared" si="10"/>
        <v>11743.585618359424</v>
      </c>
      <c r="AB53" s="98">
        <f t="shared" si="11"/>
        <v>275025.15500551555</v>
      </c>
      <c r="AC53" s="91"/>
      <c r="AD53" s="92">
        <f t="shared" si="12"/>
        <v>11742.98674775912</v>
      </c>
    </row>
    <row r="54" spans="1:30" ht="12" customHeight="1">
      <c r="A54" s="15"/>
      <c r="B54" s="93">
        <f>IF(C54&gt;$K$1,0,'Ranges and Data'!$A$10)</f>
        <v>535.2234266961229</v>
      </c>
      <c r="C54" s="94">
        <f t="shared" si="13"/>
        <v>32445.750000000055</v>
      </c>
      <c r="D54" s="85">
        <f t="shared" si="4"/>
        <v>26.24999999999985</v>
      </c>
      <c r="E54" s="15"/>
      <c r="F54" s="21"/>
      <c r="G54" s="21"/>
      <c r="H54" s="21"/>
      <c r="I54" s="21"/>
      <c r="J54" s="21"/>
      <c r="K54" s="21"/>
      <c r="L54" s="21"/>
      <c r="M54" s="15"/>
      <c r="N54" s="42"/>
      <c r="O54" s="86">
        <f t="shared" si="17"/>
        <v>6.706527782509115E-06</v>
      </c>
      <c r="P54" s="86">
        <f t="shared" si="17"/>
        <v>0.04595774007917749</v>
      </c>
      <c r="Q54" s="86">
        <f t="shared" si="17"/>
        <v>33.68224162401592</v>
      </c>
      <c r="R54" s="86">
        <f t="shared" si="17"/>
        <v>6532.705791222791</v>
      </c>
      <c r="S54" s="86">
        <f t="shared" si="17"/>
        <v>524261.67686417635</v>
      </c>
      <c r="T54" s="86">
        <f t="shared" si="17"/>
        <v>22435237.142721903</v>
      </c>
      <c r="U54" s="87">
        <f t="shared" si="17"/>
        <v>599541569.3682255</v>
      </c>
      <c r="V54" s="15"/>
      <c r="W54" s="96">
        <f t="shared" si="6"/>
        <v>13549.662990880992</v>
      </c>
      <c r="X54" s="97">
        <f t="shared" si="7"/>
        <v>314481.5680907374</v>
      </c>
      <c r="Y54" s="98">
        <f t="shared" si="8"/>
        <v>11751.01018251006</v>
      </c>
      <c r="Z54" s="97">
        <f t="shared" si="9"/>
        <v>274219.42841295566</v>
      </c>
      <c r="AA54" s="98">
        <f t="shared" si="10"/>
        <v>11629.370502454307</v>
      </c>
      <c r="AB54" s="98">
        <f t="shared" si="11"/>
        <v>271488.4624197323</v>
      </c>
      <c r="AC54" s="91"/>
      <c r="AD54" s="92">
        <f t="shared" si="12"/>
        <v>11628.779332997163</v>
      </c>
    </row>
    <row r="55" spans="1:30" ht="12" customHeight="1">
      <c r="A55" s="15"/>
      <c r="B55" s="93">
        <f>IF(C55&gt;$K$1,0,'Ranges and Data'!$A$10)</f>
        <v>535.2234266961229</v>
      </c>
      <c r="C55" s="94">
        <f t="shared" si="13"/>
        <v>32476.166666666722</v>
      </c>
      <c r="D55" s="85">
        <f t="shared" si="4"/>
        <v>26.166666666666515</v>
      </c>
      <c r="E55" s="15"/>
      <c r="F55" s="21"/>
      <c r="G55" s="21"/>
      <c r="H55" s="21"/>
      <c r="I55" s="21"/>
      <c r="J55" s="21"/>
      <c r="K55" s="21"/>
      <c r="L55" s="21"/>
      <c r="M55" s="15"/>
      <c r="N55" s="42"/>
      <c r="O55" s="86">
        <f t="shared" si="17"/>
        <v>7.105318676863691E-06</v>
      </c>
      <c r="P55" s="86">
        <f t="shared" si="17"/>
        <v>0.0473442412958115</v>
      </c>
      <c r="Q55" s="86">
        <f t="shared" si="17"/>
        <v>33.97927522858679</v>
      </c>
      <c r="R55" s="86">
        <f t="shared" si="17"/>
        <v>6481.025186264257</v>
      </c>
      <c r="S55" s="86">
        <f t="shared" si="17"/>
        <v>512923.7785430799</v>
      </c>
      <c r="T55" s="86">
        <f t="shared" si="17"/>
        <v>21689842.221809067</v>
      </c>
      <c r="U55" s="87">
        <f t="shared" si="17"/>
        <v>573608031.5576334</v>
      </c>
      <c r="V55" s="15"/>
      <c r="W55" s="96">
        <f t="shared" si="6"/>
        <v>13411.37408277411</v>
      </c>
      <c r="X55" s="97">
        <f t="shared" si="7"/>
        <v>310283.7799875513</v>
      </c>
      <c r="Y55" s="98">
        <f t="shared" si="8"/>
        <v>11636.338468526968</v>
      </c>
      <c r="Z55" s="97">
        <f t="shared" si="9"/>
        <v>270681.4274667124</v>
      </c>
      <c r="AA55" s="98">
        <f t="shared" si="10"/>
        <v>11516.266213610455</v>
      </c>
      <c r="AB55" s="98">
        <f t="shared" si="11"/>
        <v>267994.5491126828</v>
      </c>
      <c r="AC55" s="91"/>
      <c r="AD55" s="92">
        <f t="shared" si="12"/>
        <v>11515.682652145306</v>
      </c>
    </row>
    <row r="56" spans="1:30" ht="12" customHeight="1">
      <c r="A56" s="15"/>
      <c r="B56" s="93">
        <f>IF(C56&gt;$K$1,0,'Ranges and Data'!$A$10)</f>
        <v>535.2234266961229</v>
      </c>
      <c r="C56" s="94">
        <f t="shared" si="13"/>
        <v>32506.58333333339</v>
      </c>
      <c r="D56" s="85">
        <f t="shared" si="4"/>
        <v>26.083333333333176</v>
      </c>
      <c r="E56" s="15"/>
      <c r="F56" s="21"/>
      <c r="G56" s="21"/>
      <c r="H56" s="21"/>
      <c r="I56" s="21"/>
      <c r="J56" s="21"/>
      <c r="K56" s="21"/>
      <c r="L56" s="21"/>
      <c r="M56" s="15"/>
      <c r="N56" s="42"/>
      <c r="O56" s="86">
        <f t="shared" si="17"/>
        <v>7.5278229117989545E-06</v>
      </c>
      <c r="P56" s="86">
        <f t="shared" si="17"/>
        <v>0.04877257193270029</v>
      </c>
      <c r="Q56" s="86">
        <f t="shared" si="17"/>
        <v>34.27892828358587</v>
      </c>
      <c r="R56" s="86">
        <f t="shared" si="17"/>
        <v>6429.753429494242</v>
      </c>
      <c r="S56" s="86">
        <f t="shared" si="17"/>
        <v>501831.0782671809</v>
      </c>
      <c r="T56" s="86">
        <f t="shared" si="17"/>
        <v>20969212.521098115</v>
      </c>
      <c r="U56" s="87">
        <f t="shared" si="17"/>
        <v>548796264.8096901</v>
      </c>
      <c r="V56" s="15"/>
      <c r="W56" s="96">
        <f t="shared" si="6"/>
        <v>13274.49656195547</v>
      </c>
      <c r="X56" s="97">
        <f t="shared" si="7"/>
        <v>306138.9201217239</v>
      </c>
      <c r="Y56" s="98">
        <f t="shared" si="8"/>
        <v>11522.78577340128</v>
      </c>
      <c r="Z56" s="97">
        <f t="shared" si="9"/>
        <v>267186.36415271164</v>
      </c>
      <c r="AA56" s="98">
        <f t="shared" si="10"/>
        <v>11404.261948207439</v>
      </c>
      <c r="AB56" s="98">
        <f t="shared" si="11"/>
        <v>264542.91749982035</v>
      </c>
      <c r="AC56" s="91"/>
      <c r="AD56" s="92">
        <f t="shared" si="12"/>
        <v>11403.685902666595</v>
      </c>
    </row>
    <row r="57" spans="1:30" ht="12" customHeight="1">
      <c r="A57" s="15"/>
      <c r="B57" s="93">
        <f>IF(C57&gt;$K$1,0,'Ranges and Data'!$A$10)</f>
        <v>535.2234266961229</v>
      </c>
      <c r="C57" s="94">
        <f t="shared" si="13"/>
        <v>32537.00000000006</v>
      </c>
      <c r="D57" s="85">
        <f t="shared" si="4"/>
        <v>25.99999999999984</v>
      </c>
      <c r="E57" s="15"/>
      <c r="F57" s="21"/>
      <c r="G57" s="21"/>
      <c r="H57" s="21"/>
      <c r="I57" s="21"/>
      <c r="J57" s="21"/>
      <c r="K57" s="21"/>
      <c r="L57" s="21"/>
      <c r="M57" s="15"/>
      <c r="N57" s="42"/>
      <c r="O57" s="86">
        <f t="shared" si="17"/>
        <v>7.975450555923322E-06</v>
      </c>
      <c r="P57" s="86">
        <f t="shared" si="17"/>
        <v>0.050243993943585856</v>
      </c>
      <c r="Q57" s="86">
        <f t="shared" si="17"/>
        <v>34.581223889162196</v>
      </c>
      <c r="R57" s="86">
        <f t="shared" si="17"/>
        <v>6378.887286491606</v>
      </c>
      <c r="S57" s="86">
        <f t="shared" si="17"/>
        <v>490978.2732828608</v>
      </c>
      <c r="T57" s="86">
        <f t="shared" si="17"/>
        <v>20272525.233625438</v>
      </c>
      <c r="U57" s="87">
        <f t="shared" si="17"/>
        <v>525057746.2299831</v>
      </c>
      <c r="V57" s="15"/>
      <c r="W57" s="96">
        <f t="shared" si="6"/>
        <v>13139.0160236973</v>
      </c>
      <c r="X57" s="97">
        <f t="shared" si="7"/>
        <v>302046.3453723499</v>
      </c>
      <c r="Y57" s="98">
        <f t="shared" si="8"/>
        <v>11410.341177236896</v>
      </c>
      <c r="Z57" s="97">
        <f t="shared" si="9"/>
        <v>263733.7373758225</v>
      </c>
      <c r="AA57" s="98">
        <f t="shared" si="10"/>
        <v>11293.34700769808</v>
      </c>
      <c r="AB57" s="98">
        <f t="shared" si="11"/>
        <v>261133.0756288622</v>
      </c>
      <c r="AC57" s="91"/>
      <c r="AD57" s="92">
        <f t="shared" si="12"/>
        <v>11292.778387085053</v>
      </c>
    </row>
    <row r="58" spans="1:30" ht="12" customHeight="1">
      <c r="A58" s="15"/>
      <c r="B58" s="93">
        <f>IF(C58&gt;$K$1,0,'Ranges and Data'!$A$10)</f>
        <v>535.2234266961229</v>
      </c>
      <c r="C58" s="94">
        <f t="shared" si="13"/>
        <v>32567.416666666726</v>
      </c>
      <c r="D58" s="85">
        <f t="shared" si="4"/>
        <v>25.916666666666504</v>
      </c>
      <c r="E58" s="15"/>
      <c r="F58" s="21"/>
      <c r="G58" s="21"/>
      <c r="H58" s="21"/>
      <c r="I58" s="21"/>
      <c r="J58" s="21"/>
      <c r="K58" s="21"/>
      <c r="L58" s="21"/>
      <c r="M58" s="15"/>
      <c r="N58" s="42"/>
      <c r="O58" s="86">
        <f t="shared" si="17"/>
        <v>8.449695524888085E-06</v>
      </c>
      <c r="P58" s="86">
        <f t="shared" si="17"/>
        <v>0.05175980735415207</v>
      </c>
      <c r="Q58" s="86">
        <f t="shared" si="17"/>
        <v>34.88618534917816</v>
      </c>
      <c r="R58" s="86">
        <f t="shared" si="17"/>
        <v>6328.423548422899</v>
      </c>
      <c r="S58" s="86">
        <f t="shared" si="17"/>
        <v>480360.175516026</v>
      </c>
      <c r="T58" s="86">
        <f t="shared" si="17"/>
        <v>19598984.889608</v>
      </c>
      <c r="U58" s="87">
        <f t="shared" si="17"/>
        <v>502346051.8116149</v>
      </c>
      <c r="V58" s="15"/>
      <c r="W58" s="96">
        <f t="shared" si="6"/>
        <v>13004.918210287567</v>
      </c>
      <c r="X58" s="97">
        <f t="shared" si="7"/>
        <v>298005.42023278866</v>
      </c>
      <c r="Y58" s="98">
        <f t="shared" si="8"/>
        <v>11298.993866699027</v>
      </c>
      <c r="Z58" s="97">
        <f t="shared" si="9"/>
        <v>260323.05173190113</v>
      </c>
      <c r="AA58" s="98">
        <f t="shared" si="10"/>
        <v>11183.510797586541</v>
      </c>
      <c r="AB58" s="98">
        <f t="shared" si="11"/>
        <v>257764.5371173002</v>
      </c>
      <c r="AC58" s="91"/>
      <c r="AD58" s="92">
        <f t="shared" si="12"/>
        <v>11182.949511963927</v>
      </c>
    </row>
    <row r="59" spans="1:30" ht="12" customHeight="1">
      <c r="A59" s="15"/>
      <c r="B59" s="93">
        <f>IF(C59&gt;$K$1,0,'Ranges and Data'!$A$10)</f>
        <v>535.2234266961229</v>
      </c>
      <c r="C59" s="94">
        <f t="shared" si="13"/>
        <v>32597.833333333394</v>
      </c>
      <c r="D59" s="85">
        <f t="shared" si="4"/>
        <v>25.83333333333317</v>
      </c>
      <c r="E59" s="15"/>
      <c r="F59" s="21"/>
      <c r="G59" s="21"/>
      <c r="H59" s="21"/>
      <c r="I59" s="21"/>
      <c r="J59" s="21"/>
      <c r="K59" s="21"/>
      <c r="L59" s="21"/>
      <c r="M59" s="15"/>
      <c r="N59" s="42"/>
      <c r="O59" s="86">
        <f aca="true" t="shared" si="18" ref="O59:U68">$B59*O$7^$D59</f>
        <v>8.952140567191853E-06</v>
      </c>
      <c r="P59" s="86">
        <f t="shared" si="18"/>
        <v>0.053321351410618625</v>
      </c>
      <c r="Q59" s="86">
        <f t="shared" si="18"/>
        <v>35.19383617300592</v>
      </c>
      <c r="R59" s="86">
        <f t="shared" si="18"/>
        <v>6278.359031839932</v>
      </c>
      <c r="S59" s="86">
        <f t="shared" si="18"/>
        <v>469971.7090920044</v>
      </c>
      <c r="T59" s="86">
        <f t="shared" si="18"/>
        <v>18947822.448184855</v>
      </c>
      <c r="U59" s="87">
        <f t="shared" si="18"/>
        <v>480616765.6465427</v>
      </c>
      <c r="V59" s="15"/>
      <c r="W59" s="96">
        <f t="shared" si="6"/>
        <v>12872.189009529558</v>
      </c>
      <c r="X59" s="97">
        <f t="shared" si="7"/>
        <v>294015.5167222324</v>
      </c>
      <c r="Y59" s="98">
        <f t="shared" si="8"/>
        <v>11188.733133974341</v>
      </c>
      <c r="Z59" s="97">
        <f t="shared" si="9"/>
        <v>256953.81744443922</v>
      </c>
      <c r="AA59" s="98">
        <f t="shared" si="10"/>
        <v>11074.742826416337</v>
      </c>
      <c r="AB59" s="98">
        <f t="shared" si="11"/>
        <v>254436.82109059373</v>
      </c>
      <c r="AC59" s="91"/>
      <c r="AD59" s="92">
        <f t="shared" si="12"/>
        <v>11074.188786893825</v>
      </c>
    </row>
    <row r="60" spans="1:30" ht="12" customHeight="1">
      <c r="A60" s="15"/>
      <c r="B60" s="93">
        <f>IF(C60&gt;$K$1,0,'Ranges and Data'!$A$10)</f>
        <v>535.2234266961229</v>
      </c>
      <c r="C60" s="94">
        <f t="shared" si="13"/>
        <v>32628.250000000062</v>
      </c>
      <c r="D60" s="85">
        <f t="shared" si="4"/>
        <v>25.74999999999983</v>
      </c>
      <c r="E60" s="15"/>
      <c r="F60" s="21"/>
      <c r="G60" s="21"/>
      <c r="H60" s="21"/>
      <c r="I60" s="21"/>
      <c r="J60" s="21"/>
      <c r="K60" s="21"/>
      <c r="L60" s="21"/>
      <c r="M60" s="15"/>
      <c r="N60" s="42"/>
      <c r="O60" s="86">
        <f t="shared" si="18"/>
        <v>9.484462546456492E-06</v>
      </c>
      <c r="P60" s="86">
        <f t="shared" si="18"/>
        <v>0.054930005762987295</v>
      </c>
      <c r="Q60" s="86">
        <f t="shared" si="18"/>
        <v>35.50420007733975</v>
      </c>
      <c r="R60" s="86">
        <f t="shared" si="18"/>
        <v>6228.690578478947</v>
      </c>
      <c r="S60" s="86">
        <f t="shared" si="18"/>
        <v>459807.9079090738</v>
      </c>
      <c r="T60" s="86">
        <f t="shared" si="18"/>
        <v>18318294.419335004</v>
      </c>
      <c r="U60" s="87">
        <f t="shared" si="18"/>
        <v>459827393.06403065</v>
      </c>
      <c r="V60" s="15"/>
      <c r="W60" s="96">
        <f t="shared" si="6"/>
        <v>12740.814453256735</v>
      </c>
      <c r="X60" s="97">
        <f t="shared" si="7"/>
        <v>290076.0142982836</v>
      </c>
      <c r="Y60" s="98">
        <f t="shared" si="8"/>
        <v>11079.54837574122</v>
      </c>
      <c r="Z60" s="97">
        <f t="shared" si="9"/>
        <v>253625.55030190552</v>
      </c>
      <c r="AA60" s="98">
        <f t="shared" si="10"/>
        <v>10967.032704768215</v>
      </c>
      <c r="AB60" s="98">
        <f t="shared" si="11"/>
        <v>251149.45212103912</v>
      </c>
      <c r="AC60" s="91"/>
      <c r="AD60" s="92">
        <f t="shared" si="12"/>
        <v>10966.485823490717</v>
      </c>
    </row>
    <row r="61" spans="1:30" ht="12" customHeight="1">
      <c r="A61" s="15"/>
      <c r="B61" s="93">
        <f>IF(C61&gt;$K$1,0,'Ranges and Data'!$A$10)</f>
        <v>535.2234266961229</v>
      </c>
      <c r="C61" s="94">
        <f t="shared" si="13"/>
        <v>32658.66666666673</v>
      </c>
      <c r="D61" s="85">
        <f t="shared" si="4"/>
        <v>25.666666666666494</v>
      </c>
      <c r="E61" s="15"/>
      <c r="F61" s="21"/>
      <c r="G61" s="21"/>
      <c r="H61" s="21"/>
      <c r="I61" s="21"/>
      <c r="J61" s="21"/>
      <c r="K61" s="21"/>
      <c r="L61" s="21"/>
      <c r="M61" s="15"/>
      <c r="N61" s="42"/>
      <c r="O61" s="86">
        <f t="shared" si="18"/>
        <v>1.0048438037803639E-05</v>
      </c>
      <c r="P61" s="86">
        <f t="shared" si="18"/>
        <v>0.05658719168398523</v>
      </c>
      <c r="Q61" s="86">
        <f t="shared" si="18"/>
        <v>35.817300988024364</v>
      </c>
      <c r="R61" s="86">
        <f t="shared" si="18"/>
        <v>6179.415055061402</v>
      </c>
      <c r="S61" s="86">
        <f t="shared" si="18"/>
        <v>449863.9132644685</v>
      </c>
      <c r="T61" s="86">
        <f t="shared" si="18"/>
        <v>17709682.014968753</v>
      </c>
      <c r="U61" s="87">
        <f t="shared" si="18"/>
        <v>439937277.52635735</v>
      </c>
      <c r="V61" s="15"/>
      <c r="W61" s="96">
        <f t="shared" si="6"/>
        <v>12610.780715862746</v>
      </c>
      <c r="X61" s="97">
        <f t="shared" si="7"/>
        <v>286186.29977053485</v>
      </c>
      <c r="Y61" s="98">
        <f t="shared" si="8"/>
        <v>10971.429092150107</v>
      </c>
      <c r="Z61" s="97">
        <f t="shared" si="9"/>
        <v>250337.7715957755</v>
      </c>
      <c r="AA61" s="98">
        <f t="shared" si="10"/>
        <v>10860.370144267778</v>
      </c>
      <c r="AB61" s="98">
        <f t="shared" si="11"/>
        <v>247901.96016730677</v>
      </c>
      <c r="AC61" s="91"/>
      <c r="AD61" s="92">
        <f t="shared" si="12"/>
        <v>10859.830334403714</v>
      </c>
    </row>
    <row r="62" spans="1:30" ht="12" customHeight="1">
      <c r="A62" s="15"/>
      <c r="B62" s="93">
        <f>IF(C62&gt;$K$1,0,'Ranges and Data'!$A$10)</f>
        <v>535.2234266961229</v>
      </c>
      <c r="C62" s="94">
        <f t="shared" si="13"/>
        <v>32689.083333333398</v>
      </c>
      <c r="D62" s="85">
        <f t="shared" si="4"/>
        <v>25.583333333333158</v>
      </c>
      <c r="E62" s="15"/>
      <c r="F62" s="21"/>
      <c r="G62" s="21"/>
      <c r="H62" s="21"/>
      <c r="I62" s="21"/>
      <c r="J62" s="21"/>
      <c r="K62" s="21"/>
      <c r="L62" s="21"/>
      <c r="M62" s="15"/>
      <c r="N62" s="42"/>
      <c r="O62" s="86">
        <f t="shared" si="18"/>
        <v>1.0645949257009127E-05</v>
      </c>
      <c r="P62" s="86">
        <f t="shared" si="18"/>
        <v>0.05829437332478344</v>
      </c>
      <c r="Q62" s="86">
        <f t="shared" si="18"/>
        <v>36.13316304189927</v>
      </c>
      <c r="R62" s="86">
        <f t="shared" si="18"/>
        <v>6130.529353096296</v>
      </c>
      <c r="S62" s="86">
        <f t="shared" si="18"/>
        <v>440134.9715317224</v>
      </c>
      <c r="T62" s="86">
        <f t="shared" si="18"/>
        <v>17121290.328223355</v>
      </c>
      <c r="U62" s="87">
        <f t="shared" si="18"/>
        <v>420907521.11923844</v>
      </c>
      <c r="V62" s="15"/>
      <c r="W62" s="96">
        <f t="shared" si="6"/>
        <v>12482.074112846445</v>
      </c>
      <c r="X62" s="97">
        <f t="shared" si="7"/>
        <v>282345.7672151365</v>
      </c>
      <c r="Y62" s="98">
        <f t="shared" si="8"/>
        <v>10864.364885813757</v>
      </c>
      <c r="Z62" s="97">
        <f t="shared" si="9"/>
        <v>247090.00805923916</v>
      </c>
      <c r="AA62" s="98">
        <f t="shared" si="10"/>
        <v>10754.744956602704</v>
      </c>
      <c r="AB62" s="98">
        <f t="shared" si="11"/>
        <v>244693.88051463765</v>
      </c>
      <c r="AC62" s="91"/>
      <c r="AD62" s="92">
        <f t="shared" si="12"/>
        <v>10754.212132332388</v>
      </c>
    </row>
    <row r="63" spans="1:30" ht="12" customHeight="1">
      <c r="A63" s="15"/>
      <c r="B63" s="93">
        <f>IF(C63&gt;$K$1,0,'Ranges and Data'!$A$10)</f>
        <v>535.2234266961229</v>
      </c>
      <c r="C63" s="94">
        <f t="shared" si="13"/>
        <v>32719.500000000065</v>
      </c>
      <c r="D63" s="85">
        <f t="shared" si="4"/>
        <v>25.499999999999822</v>
      </c>
      <c r="E63" s="15"/>
      <c r="F63" s="21"/>
      <c r="G63" s="21"/>
      <c r="H63" s="21"/>
      <c r="I63" s="21"/>
      <c r="J63" s="21"/>
      <c r="K63" s="21"/>
      <c r="L63" s="21"/>
      <c r="M63" s="15"/>
      <c r="N63" s="42"/>
      <c r="O63" s="86">
        <f t="shared" si="18"/>
        <v>1.1278990342222933E-05</v>
      </c>
      <c r="P63" s="86">
        <f t="shared" si="18"/>
        <v>0.06005305900859821</v>
      </c>
      <c r="Q63" s="86">
        <f t="shared" si="18"/>
        <v>36.45181058865963</v>
      </c>
      <c r="R63" s="86">
        <f t="shared" si="18"/>
        <v>6082.030388684066</v>
      </c>
      <c r="S63" s="86">
        <f t="shared" si="18"/>
        <v>430616.43188824924</v>
      </c>
      <c r="T63" s="86">
        <f t="shared" si="18"/>
        <v>16552447.540026106</v>
      </c>
      <c r="U63" s="87">
        <f t="shared" si="18"/>
        <v>402700908.4815005</v>
      </c>
      <c r="V63" s="15"/>
      <c r="W63" s="96">
        <f t="shared" si="6"/>
        <v>12354.681099371765</v>
      </c>
      <c r="X63" s="97">
        <f t="shared" si="7"/>
        <v>278553.8178903429</v>
      </c>
      <c r="Y63" s="98">
        <f t="shared" si="8"/>
        <v>10758.345460807364</v>
      </c>
      <c r="Z63" s="97">
        <f t="shared" si="9"/>
        <v>243881.7918065821</v>
      </c>
      <c r="AA63" s="98">
        <f t="shared" si="10"/>
        <v>10650.147052549617</v>
      </c>
      <c r="AB63" s="98">
        <f t="shared" si="11"/>
        <v>241524.75371569613</v>
      </c>
      <c r="AC63" s="91"/>
      <c r="AD63" s="92">
        <f t="shared" si="12"/>
        <v>10649.621129053794</v>
      </c>
    </row>
    <row r="64" spans="1:30" ht="12" customHeight="1">
      <c r="A64" s="15"/>
      <c r="B64" s="93">
        <f>IF(C64&gt;$K$1,0,'Ranges and Data'!$A$10)</f>
        <v>535.2234266961229</v>
      </c>
      <c r="C64" s="94">
        <f t="shared" si="13"/>
        <v>32749.916666666733</v>
      </c>
      <c r="D64" s="85">
        <f t="shared" si="4"/>
        <v>25.416666666666483</v>
      </c>
      <c r="E64" s="15"/>
      <c r="F64" s="21"/>
      <c r="G64" s="21"/>
      <c r="H64" s="21"/>
      <c r="I64" s="21"/>
      <c r="J64" s="21"/>
      <c r="K64" s="21"/>
      <c r="L64" s="21"/>
      <c r="M64" s="15"/>
      <c r="N64" s="42"/>
      <c r="O64" s="86">
        <f t="shared" si="18"/>
        <v>1.194967400922016E-05</v>
      </c>
      <c r="P64" s="86">
        <f t="shared" si="18"/>
        <v>0.061864802563319825</v>
      </c>
      <c r="Q64" s="86">
        <f t="shared" si="18"/>
        <v>36.77326819273326</v>
      </c>
      <c r="R64" s="86">
        <f t="shared" si="18"/>
        <v>6033.915102322064</v>
      </c>
      <c r="S64" s="86">
        <f t="shared" si="18"/>
        <v>421303.74409206037</v>
      </c>
      <c r="T64" s="86">
        <f t="shared" si="18"/>
        <v>16002504.152018933</v>
      </c>
      <c r="U64" s="87">
        <f t="shared" si="18"/>
        <v>385281834.02521133</v>
      </c>
      <c r="V64" s="15"/>
      <c r="W64" s="96">
        <f t="shared" si="6"/>
        <v>12228.588268842268</v>
      </c>
      <c r="X64" s="97">
        <f t="shared" si="7"/>
        <v>274809.8601530257</v>
      </c>
      <c r="Y64" s="98">
        <f t="shared" si="8"/>
        <v>10653.36062167845</v>
      </c>
      <c r="Z64" s="97">
        <f t="shared" si="9"/>
        <v>240712.66027323095</v>
      </c>
      <c r="AA64" s="98">
        <f t="shared" si="10"/>
        <v>10546.56644101033</v>
      </c>
      <c r="AB64" s="98">
        <f t="shared" si="11"/>
        <v>238394.1255320673</v>
      </c>
      <c r="AC64" s="91"/>
      <c r="AD64" s="92">
        <f t="shared" si="12"/>
        <v>10546.047334458846</v>
      </c>
    </row>
    <row r="65" spans="1:30" ht="12" customHeight="1">
      <c r="A65" s="15"/>
      <c r="B65" s="93">
        <f>IF(C65&gt;$K$1,0,'Ranges and Data'!$A$10)</f>
        <v>535.2234266961229</v>
      </c>
      <c r="C65" s="94">
        <f t="shared" si="13"/>
        <v>32780.3333333334</v>
      </c>
      <c r="D65" s="85">
        <f t="shared" si="4"/>
        <v>25.333333333333147</v>
      </c>
      <c r="E65" s="15"/>
      <c r="F65" s="21"/>
      <c r="G65" s="21"/>
      <c r="H65" s="21"/>
      <c r="I65" s="21"/>
      <c r="J65" s="21"/>
      <c r="K65" s="21"/>
      <c r="L65" s="21"/>
      <c r="M65" s="15"/>
      <c r="N65" s="42"/>
      <c r="O65" s="86">
        <f t="shared" si="18"/>
        <v>1.2660238602393283E-05</v>
      </c>
      <c r="P65" s="86">
        <f t="shared" si="18"/>
        <v>0.06373120469434473</v>
      </c>
      <c r="Q65" s="86">
        <f t="shared" si="18"/>
        <v>37.097560635174226</v>
      </c>
      <c r="R65" s="86">
        <f t="shared" si="18"/>
        <v>5986.1804587115375</v>
      </c>
      <c r="S65" s="86">
        <f t="shared" si="18"/>
        <v>412192.45630657044</v>
      </c>
      <c r="T65" s="86">
        <f t="shared" si="18"/>
        <v>15470832.244968416</v>
      </c>
      <c r="U65" s="87">
        <f t="shared" si="18"/>
        <v>368616232.3039557</v>
      </c>
      <c r="V65" s="15"/>
      <c r="W65" s="96">
        <f t="shared" si="6"/>
        <v>12103.782351490307</v>
      </c>
      <c r="X65" s="97">
        <f t="shared" si="7"/>
        <v>271113.309376144</v>
      </c>
      <c r="Y65" s="98">
        <f t="shared" si="8"/>
        <v>10549.400272466422</v>
      </c>
      <c r="Z65" s="97">
        <f t="shared" si="9"/>
        <v>237582.1561564573</v>
      </c>
      <c r="AA65" s="98">
        <f t="shared" si="10"/>
        <v>10443.993228057565</v>
      </c>
      <c r="AB65" s="98">
        <f t="shared" si="11"/>
        <v>235301.54687639594</v>
      </c>
      <c r="AC65" s="91"/>
      <c r="AD65" s="92">
        <f t="shared" si="12"/>
        <v>10443.480855598129</v>
      </c>
    </row>
    <row r="66" spans="1:30" ht="12" customHeight="1">
      <c r="A66" s="15"/>
      <c r="B66" s="93">
        <f>IF(C66&gt;$K$1,0,'Ranges and Data'!$A$10)</f>
        <v>535.2234266961229</v>
      </c>
      <c r="C66" s="94">
        <f t="shared" si="13"/>
        <v>32810.750000000065</v>
      </c>
      <c r="D66" s="85">
        <f t="shared" si="4"/>
        <v>25.249999999999822</v>
      </c>
      <c r="E66" s="15"/>
      <c r="F66" s="21"/>
      <c r="G66" s="21"/>
      <c r="H66" s="21"/>
      <c r="I66" s="21"/>
      <c r="J66" s="21"/>
      <c r="K66" s="21"/>
      <c r="L66" s="21"/>
      <c r="M66" s="15"/>
      <c r="N66" s="42"/>
      <c r="O66" s="86">
        <f t="shared" si="18"/>
        <v>1.3413055565018492E-05</v>
      </c>
      <c r="P66" s="86">
        <f t="shared" si="18"/>
        <v>0.06565391439882574</v>
      </c>
      <c r="Q66" s="86">
        <f t="shared" si="18"/>
        <v>37.42471291557336</v>
      </c>
      <c r="R66" s="86">
        <f t="shared" si="18"/>
        <v>5938.823446566158</v>
      </c>
      <c r="S66" s="86">
        <f t="shared" si="18"/>
        <v>403278.2129724404</v>
      </c>
      <c r="T66" s="86">
        <f t="shared" si="18"/>
        <v>14956824.761814427</v>
      </c>
      <c r="U66" s="87">
        <f t="shared" si="18"/>
        <v>352671511.3930688</v>
      </c>
      <c r="V66" s="15"/>
      <c r="W66" s="96">
        <f t="shared" si="6"/>
        <v>11980.250212980496</v>
      </c>
      <c r="X66" s="97">
        <f t="shared" si="7"/>
        <v>267463.5878671577</v>
      </c>
      <c r="Y66" s="98">
        <f t="shared" si="8"/>
        <v>10446.45441573167</v>
      </c>
      <c r="Z66" s="97">
        <f t="shared" si="9"/>
        <v>234489.82735673105</v>
      </c>
      <c r="AA66" s="98">
        <f t="shared" si="10"/>
        <v>10342.417615989827</v>
      </c>
      <c r="AB66" s="98">
        <f t="shared" si="11"/>
        <v>232246.5737551562</v>
      </c>
      <c r="AC66" s="91"/>
      <c r="AD66" s="92">
        <f t="shared" si="12"/>
        <v>10341.911895736934</v>
      </c>
    </row>
    <row r="67" spans="1:30" ht="12" customHeight="1">
      <c r="A67" s="15"/>
      <c r="B67" s="93">
        <f>IF(C67&gt;$K$1,0,'Ranges and Data'!$A$10)</f>
        <v>535.2234266961229</v>
      </c>
      <c r="C67" s="94">
        <f t="shared" si="13"/>
        <v>32841.16666666673</v>
      </c>
      <c r="D67" s="85">
        <f t="shared" si="4"/>
        <v>25.166666666666494</v>
      </c>
      <c r="E67" s="15"/>
      <c r="F67" s="21"/>
      <c r="G67" s="21"/>
      <c r="H67" s="21"/>
      <c r="I67" s="21"/>
      <c r="J67" s="21"/>
      <c r="K67" s="21"/>
      <c r="L67" s="21"/>
      <c r="M67" s="15"/>
      <c r="N67" s="42"/>
      <c r="O67" s="86">
        <f t="shared" si="18"/>
        <v>1.421063735372761E-05</v>
      </c>
      <c r="P67" s="86">
        <f t="shared" si="18"/>
        <v>0.06763463042258841</v>
      </c>
      <c r="Q67" s="86">
        <f t="shared" si="18"/>
        <v>37.75475025398541</v>
      </c>
      <c r="R67" s="86">
        <f t="shared" si="18"/>
        <v>5891.84107842204</v>
      </c>
      <c r="S67" s="86">
        <f t="shared" si="18"/>
        <v>394556.75272544386</v>
      </c>
      <c r="T67" s="86">
        <f t="shared" si="18"/>
        <v>14459894.814539235</v>
      </c>
      <c r="U67" s="87">
        <f t="shared" si="18"/>
        <v>337416489.15154487</v>
      </c>
      <c r="V67" s="15"/>
      <c r="W67" s="96">
        <f t="shared" si="6"/>
        <v>11857.978853027476</v>
      </c>
      <c r="X67" s="97">
        <f t="shared" si="7"/>
        <v>263860.12478737644</v>
      </c>
      <c r="Y67" s="98">
        <f t="shared" si="8"/>
        <v>10344.51315159414</v>
      </c>
      <c r="Z67" s="97">
        <f t="shared" si="9"/>
        <v>231435.2269197173</v>
      </c>
      <c r="AA67" s="98">
        <f t="shared" si="10"/>
        <v>10241.829902395555</v>
      </c>
      <c r="AB67" s="98">
        <f t="shared" si="11"/>
        <v>229228.76721204785</v>
      </c>
      <c r="AC67" s="91"/>
      <c r="AD67" s="92">
        <f t="shared" si="12"/>
        <v>10241.330753419516</v>
      </c>
    </row>
    <row r="68" spans="1:30" ht="12" customHeight="1">
      <c r="A68" s="15"/>
      <c r="B68" s="93">
        <f>IF(C68&gt;$K$1,0,'Ranges and Data'!$A$10)</f>
        <v>535.2234266961229</v>
      </c>
      <c r="C68" s="94">
        <f t="shared" si="13"/>
        <v>32871.583333333394</v>
      </c>
      <c r="D68" s="85">
        <f t="shared" si="4"/>
        <v>25.08333333333317</v>
      </c>
      <c r="E68" s="15"/>
      <c r="F68" s="21"/>
      <c r="G68" s="21"/>
      <c r="H68" s="21"/>
      <c r="I68" s="21"/>
      <c r="J68" s="21"/>
      <c r="K68" s="21"/>
      <c r="L68" s="21"/>
      <c r="M68" s="15"/>
      <c r="N68" s="42"/>
      <c r="O68" s="86">
        <f t="shared" si="18"/>
        <v>1.5055645823597936E-05</v>
      </c>
      <c r="P68" s="86">
        <f t="shared" si="18"/>
        <v>0.0696751027610006</v>
      </c>
      <c r="Q68" s="86">
        <f t="shared" si="18"/>
        <v>38.087698092873225</v>
      </c>
      <c r="R68" s="86">
        <f t="shared" si="18"/>
        <v>5845.230390449306</v>
      </c>
      <c r="S68" s="86">
        <f t="shared" si="18"/>
        <v>386023.90635936946</v>
      </c>
      <c r="T68" s="86">
        <f t="shared" si="18"/>
        <v>13979475.014065368</v>
      </c>
      <c r="U68" s="87">
        <f t="shared" si="18"/>
        <v>322821332.2409925</v>
      </c>
      <c r="V68" s="15"/>
      <c r="W68" s="96">
        <f t="shared" si="6"/>
        <v>11736.955404027814</v>
      </c>
      <c r="X68" s="97">
        <f t="shared" si="7"/>
        <v>260302.35607223317</v>
      </c>
      <c r="Y68" s="98">
        <f t="shared" si="8"/>
        <v>10243.566676781333</v>
      </c>
      <c r="Z68" s="97">
        <f t="shared" si="9"/>
        <v>228417.9129789116</v>
      </c>
      <c r="AA68" s="98">
        <f t="shared" si="10"/>
        <v>10142.220479226387</v>
      </c>
      <c r="AB68" s="98">
        <f t="shared" si="11"/>
        <v>226247.69327201374</v>
      </c>
      <c r="AC68" s="91"/>
      <c r="AD68" s="92">
        <f t="shared" si="12"/>
        <v>10141.727821542478</v>
      </c>
    </row>
    <row r="69" spans="1:30" ht="12" customHeight="1">
      <c r="A69" s="15"/>
      <c r="B69" s="93">
        <f>IF(C69&gt;$K$1,0,'Ranges and Data'!$A$10)</f>
        <v>535.2234266961229</v>
      </c>
      <c r="C69" s="94">
        <f t="shared" si="13"/>
        <v>32902.00000000006</v>
      </c>
      <c r="D69" s="85">
        <f t="shared" si="4"/>
        <v>24.99999999999984</v>
      </c>
      <c r="E69" s="15"/>
      <c r="F69" s="21"/>
      <c r="G69" s="21"/>
      <c r="H69" s="21"/>
      <c r="I69" s="21"/>
      <c r="J69" s="21"/>
      <c r="K69" s="21"/>
      <c r="L69" s="21"/>
      <c r="M69" s="15"/>
      <c r="N69" s="42"/>
      <c r="O69" s="86">
        <f aca="true" t="shared" si="19" ref="O69:U78">$B69*O$7^$D69</f>
        <v>1.5950901111846614E-05</v>
      </c>
      <c r="P69" s="86">
        <f t="shared" si="19"/>
        <v>0.07177713420512272</v>
      </c>
      <c r="Q69" s="86">
        <f t="shared" si="19"/>
        <v>38.423582099069115</v>
      </c>
      <c r="R69" s="86">
        <f t="shared" si="19"/>
        <v>5798.988442265097</v>
      </c>
      <c r="S69" s="86">
        <f t="shared" si="19"/>
        <v>377675.5948329701</v>
      </c>
      <c r="T69" s="86">
        <f t="shared" si="19"/>
        <v>13515016.822416967</v>
      </c>
      <c r="U69" s="87">
        <f t="shared" si="19"/>
        <v>308857497.78234303</v>
      </c>
      <c r="V69" s="15"/>
      <c r="W69" s="96">
        <f t="shared" si="6"/>
        <v>11617.167129705835</v>
      </c>
      <c r="X69" s="97">
        <f t="shared" si="7"/>
        <v>256789.7243524704</v>
      </c>
      <c r="Y69" s="98">
        <f t="shared" si="8"/>
        <v>10143.605283685545</v>
      </c>
      <c r="Z69" s="97">
        <f t="shared" si="9"/>
        <v>225437.44869890236</v>
      </c>
      <c r="AA69" s="98">
        <f t="shared" si="10"/>
        <v>10043.579831879379</v>
      </c>
      <c r="AB69" s="98">
        <f t="shared" si="11"/>
        <v>223302.9228858668</v>
      </c>
      <c r="AC69" s="91"/>
      <c r="AD69" s="92">
        <f t="shared" si="12"/>
        <v>10043.09358643711</v>
      </c>
    </row>
    <row r="70" spans="1:30" ht="12" customHeight="1">
      <c r="A70" s="15"/>
      <c r="B70" s="93">
        <f>IF(C70&gt;$K$1,0,'Ranges and Data'!$A$10)</f>
        <v>535.2234266961229</v>
      </c>
      <c r="C70" s="94">
        <f t="shared" si="13"/>
        <v>32932.41666666672</v>
      </c>
      <c r="D70" s="85">
        <f t="shared" si="4"/>
        <v>24.916666666666515</v>
      </c>
      <c r="E70" s="15"/>
      <c r="F70" s="21"/>
      <c r="G70" s="21"/>
      <c r="H70" s="21"/>
      <c r="I70" s="21"/>
      <c r="J70" s="21"/>
      <c r="K70" s="21"/>
      <c r="L70" s="21"/>
      <c r="M70" s="15"/>
      <c r="N70" s="42"/>
      <c r="O70" s="86">
        <f t="shared" si="19"/>
        <v>1.6899391049776082E-05</v>
      </c>
      <c r="P70" s="86">
        <f t="shared" si="19"/>
        <v>0.07394258193450264</v>
      </c>
      <c r="Q70" s="86">
        <f t="shared" si="19"/>
        <v>38.76242816575348</v>
      </c>
      <c r="R70" s="86">
        <f t="shared" si="19"/>
        <v>5753.112316748096</v>
      </c>
      <c r="S70" s="86">
        <f t="shared" si="19"/>
        <v>369507.8273200209</v>
      </c>
      <c r="T70" s="86">
        <f t="shared" si="19"/>
        <v>13065989.926405387</v>
      </c>
      <c r="U70" s="87">
        <f t="shared" si="19"/>
        <v>295497677.53624564</v>
      </c>
      <c r="V70" s="15"/>
      <c r="W70" s="96">
        <f t="shared" si="6"/>
        <v>11498.601423773282</v>
      </c>
      <c r="X70" s="97">
        <f t="shared" si="7"/>
        <v>253321.67887622977</v>
      </c>
      <c r="Y70" s="98">
        <f t="shared" si="8"/>
        <v>10044.619359430344</v>
      </c>
      <c r="Z70" s="97">
        <f t="shared" si="9"/>
        <v>222493.40221925834</v>
      </c>
      <c r="AA70" s="98">
        <f t="shared" si="10"/>
        <v>9945.898538288182</v>
      </c>
      <c r="AB70" s="98">
        <f t="shared" si="11"/>
        <v>220394.0318755248</v>
      </c>
      <c r="AC70" s="91"/>
      <c r="AD70" s="92">
        <f t="shared" si="12"/>
        <v>9945.418626960716</v>
      </c>
    </row>
    <row r="71" spans="1:30" ht="12" customHeight="1">
      <c r="A71" s="15"/>
      <c r="B71" s="93">
        <f>IF(C71&gt;$K$1,0,'Ranges and Data'!$A$10)</f>
        <v>535.2234266961229</v>
      </c>
      <c r="C71" s="94">
        <f t="shared" si="13"/>
        <v>32962.83333333339</v>
      </c>
      <c r="D71" s="85">
        <f t="shared" si="4"/>
        <v>24.833333333333186</v>
      </c>
      <c r="E71" s="15"/>
      <c r="F71" s="21"/>
      <c r="G71" s="21"/>
      <c r="H71" s="21"/>
      <c r="I71" s="21"/>
      <c r="J71" s="21"/>
      <c r="K71" s="21"/>
      <c r="L71" s="21"/>
      <c r="M71" s="15"/>
      <c r="N71" s="42"/>
      <c r="O71" s="86">
        <f t="shared" si="19"/>
        <v>1.7904281134383487E-05</v>
      </c>
      <c r="P71" s="86">
        <f t="shared" si="19"/>
        <v>0.07617335915802614</v>
      </c>
      <c r="Q71" s="86">
        <f t="shared" si="19"/>
        <v>39.10426241445095</v>
      </c>
      <c r="R71" s="86">
        <f t="shared" si="19"/>
        <v>5707.599119854492</v>
      </c>
      <c r="S71" s="86">
        <f t="shared" si="19"/>
        <v>361516.69930154335</v>
      </c>
      <c r="T71" s="86">
        <f t="shared" si="19"/>
        <v>12631881.632123312</v>
      </c>
      <c r="U71" s="87">
        <f t="shared" si="19"/>
        <v>282715744.4979693</v>
      </c>
      <c r="V71" s="15"/>
      <c r="W71" s="96">
        <f t="shared" si="6"/>
        <v>11381.245808602644</v>
      </c>
      <c r="X71" s="97">
        <f t="shared" si="7"/>
        <v>249897.6754320342</v>
      </c>
      <c r="Y71" s="98">
        <f t="shared" si="8"/>
        <v>9946.599384946116</v>
      </c>
      <c r="Z71" s="97">
        <f t="shared" si="9"/>
        <v>219585.34659903002</v>
      </c>
      <c r="AA71" s="98">
        <f t="shared" si="10"/>
        <v>9849.167268023066</v>
      </c>
      <c r="AB71" s="98">
        <f t="shared" si="11"/>
        <v>217520.60087984384</v>
      </c>
      <c r="AC71" s="91"/>
      <c r="AD71" s="92">
        <f t="shared" si="12"/>
        <v>9848.693613596697</v>
      </c>
    </row>
    <row r="72" spans="1:30" ht="12" customHeight="1">
      <c r="A72" s="15"/>
      <c r="B72" s="93">
        <f>IF(C72&gt;$K$1,0,'Ranges and Data'!$A$10)</f>
        <v>535.2234266961229</v>
      </c>
      <c r="C72" s="94">
        <f t="shared" si="13"/>
        <v>32993.25000000005</v>
      </c>
      <c r="D72" s="85">
        <f t="shared" si="4"/>
        <v>24.74999999999986</v>
      </c>
      <c r="E72" s="15"/>
      <c r="F72" s="21"/>
      <c r="G72" s="21"/>
      <c r="H72" s="21"/>
      <c r="I72" s="21"/>
      <c r="J72" s="21"/>
      <c r="K72" s="21"/>
      <c r="L72" s="21"/>
      <c r="M72" s="15"/>
      <c r="N72" s="42"/>
      <c r="O72" s="86">
        <f t="shared" si="19"/>
        <v>1.8968925092912547E-05</v>
      </c>
      <c r="P72" s="86">
        <f t="shared" si="19"/>
        <v>0.07847143680426666</v>
      </c>
      <c r="Q72" s="86">
        <f t="shared" si="19"/>
        <v>39.449111197044054</v>
      </c>
      <c r="R72" s="86">
        <f t="shared" si="19"/>
        <v>5662.445980435422</v>
      </c>
      <c r="S72" s="86">
        <f t="shared" si="19"/>
        <v>353698.39069929026</v>
      </c>
      <c r="T72" s="86">
        <f t="shared" si="19"/>
        <v>12212196.27955683</v>
      </c>
      <c r="U72" s="87">
        <f t="shared" si="19"/>
        <v>270486701.80237585</v>
      </c>
      <c r="V72" s="15"/>
      <c r="W72" s="96">
        <f t="shared" si="6"/>
        <v>11265.087933914045</v>
      </c>
      <c r="X72" s="97">
        <f t="shared" si="7"/>
        <v>246517.17627265342</v>
      </c>
      <c r="Y72" s="98">
        <f t="shared" si="8"/>
        <v>9849.535934054684</v>
      </c>
      <c r="Z72" s="97">
        <f t="shared" si="9"/>
        <v>216712.85976186275</v>
      </c>
      <c r="AA72" s="98">
        <f t="shared" si="10"/>
        <v>9753.376781399684</v>
      </c>
      <c r="AB72" s="98">
        <f t="shared" si="11"/>
        <v>214682.21530104498</v>
      </c>
      <c r="AC72" s="91"/>
      <c r="AD72" s="92">
        <f t="shared" si="12"/>
        <v>9752.909307563485</v>
      </c>
    </row>
    <row r="73" spans="1:30" ht="12" customHeight="1">
      <c r="A73" s="15"/>
      <c r="B73" s="93">
        <f>IF(C73&gt;$K$1,0,'Ranges and Data'!$A$10)</f>
        <v>535.2234266961229</v>
      </c>
      <c r="C73" s="94">
        <f t="shared" si="13"/>
        <v>33023.666666666715</v>
      </c>
      <c r="D73" s="85">
        <f aca="true" t="shared" si="20" ref="D73:D136">IF(B73&lt;&gt;0,$K$1-C73,0)/365</f>
        <v>24.666666666666533</v>
      </c>
      <c r="E73" s="15"/>
      <c r="F73" s="21"/>
      <c r="G73" s="21"/>
      <c r="H73" s="21"/>
      <c r="I73" s="21"/>
      <c r="J73" s="21"/>
      <c r="K73" s="21"/>
      <c r="L73" s="21"/>
      <c r="M73" s="15"/>
      <c r="N73" s="42"/>
      <c r="O73" s="86">
        <f t="shared" si="19"/>
        <v>2.0096876075606742E-05</v>
      </c>
      <c r="P73" s="86">
        <f t="shared" si="19"/>
        <v>0.08083884526283497</v>
      </c>
      <c r="Q73" s="86">
        <f t="shared" si="19"/>
        <v>39.79700109780467</v>
      </c>
      <c r="R73" s="86">
        <f t="shared" si="19"/>
        <v>5617.650050055841</v>
      </c>
      <c r="S73" s="86">
        <f t="shared" si="19"/>
        <v>346049.1640495945</v>
      </c>
      <c r="T73" s="86">
        <f t="shared" si="19"/>
        <v>11806454.676646033</v>
      </c>
      <c r="U73" s="87">
        <f t="shared" si="19"/>
        <v>258786633.83903885</v>
      </c>
      <c r="V73" s="15"/>
      <c r="W73" s="96">
        <f aca="true" t="shared" si="21" ref="W73:W136">$B73*I$3^$D73</f>
        <v>11150.115575475513</v>
      </c>
      <c r="X73" s="97">
        <f aca="true" t="shared" si="22" ref="X73:X136">W73*$D73/I$3</f>
        <v>243179.65003984186</v>
      </c>
      <c r="Y73" s="98">
        <f aca="true" t="shared" si="23" ref="Y73:Y136">$B73*I$4^$D73</f>
        <v>9753.419672562792</v>
      </c>
      <c r="Z73" s="97">
        <f aca="true" t="shared" si="24" ref="Z73:Z136">Y73*$D73/I$4</f>
        <v>213875.52444170986</v>
      </c>
      <c r="AA73" s="98">
        <f aca="true" t="shared" si="25" ref="AA73:AA136">$B73*I$5^$D73</f>
        <v>9658.517928596477</v>
      </c>
      <c r="AB73" s="98">
        <f aca="true" t="shared" si="26" ref="AB73:AB136">AA73*$D73/I$5</f>
        <v>211878.46525172636</v>
      </c>
      <c r="AC73" s="91"/>
      <c r="AD73" s="92">
        <f aca="true" t="shared" si="27" ref="AD73:AD136">$B73*(1+$D$7)^$D73</f>
        <v>9658.056559932043</v>
      </c>
    </row>
    <row r="74" spans="1:30" ht="12" customHeight="1">
      <c r="A74" s="15"/>
      <c r="B74" s="93">
        <f>IF(C74&gt;$K$1,0,'Ranges and Data'!$A$10)</f>
        <v>535.2234266961229</v>
      </c>
      <c r="C74" s="94">
        <f aca="true" t="shared" si="28" ref="C74:C137">C73+(365/12)</f>
        <v>33054.08333333338</v>
      </c>
      <c r="D74" s="85">
        <f t="shared" si="20"/>
        <v>24.583333333333208</v>
      </c>
      <c r="E74" s="15"/>
      <c r="F74" s="21"/>
      <c r="G74" s="21"/>
      <c r="H74" s="21"/>
      <c r="I74" s="21"/>
      <c r="J74" s="21"/>
      <c r="K74" s="21"/>
      <c r="L74" s="21"/>
      <c r="M74" s="15"/>
      <c r="N74" s="42"/>
      <c r="O74" s="86">
        <f t="shared" si="19"/>
        <v>2.129189851401754E-05</v>
      </c>
      <c r="P74" s="86">
        <f t="shared" si="19"/>
        <v>0.08327767617826051</v>
      </c>
      <c r="Q74" s="86">
        <f t="shared" si="19"/>
        <v>40.14795893544343</v>
      </c>
      <c r="R74" s="86">
        <f t="shared" si="19"/>
        <v>5573.20850281484</v>
      </c>
      <c r="S74" s="86">
        <f t="shared" si="19"/>
        <v>338565.362716714</v>
      </c>
      <c r="T74" s="86">
        <f t="shared" si="19"/>
        <v>11414193.552149134</v>
      </c>
      <c r="U74" s="87">
        <f t="shared" si="19"/>
        <v>247592659.48191157</v>
      </c>
      <c r="V74" s="15"/>
      <c r="W74" s="96">
        <f t="shared" si="21"/>
        <v>11036.31663381655</v>
      </c>
      <c r="X74" s="97">
        <f t="shared" si="22"/>
        <v>239884.57168994</v>
      </c>
      <c r="Y74" s="98">
        <f t="shared" si="23"/>
        <v>9658.24135736452</v>
      </c>
      <c r="Z74" s="97">
        <f t="shared" si="24"/>
        <v>211072.92812914515</v>
      </c>
      <c r="AA74" s="98">
        <f t="shared" si="25"/>
        <v>9564.581648780746</v>
      </c>
      <c r="AB74" s="98">
        <f t="shared" si="26"/>
        <v>209108.9455024574</v>
      </c>
      <c r="AC74" s="91"/>
      <c r="AD74" s="92">
        <f t="shared" si="27"/>
        <v>9564.126310752044</v>
      </c>
    </row>
    <row r="75" spans="1:30" ht="11.25">
      <c r="A75" s="15"/>
      <c r="B75" s="93">
        <f>IF(C75&gt;$K$1,0,'Ranges and Data'!$A$10)</f>
        <v>535.2234266961229</v>
      </c>
      <c r="C75" s="94">
        <f t="shared" si="28"/>
        <v>33084.500000000044</v>
      </c>
      <c r="D75" s="85">
        <f t="shared" si="20"/>
        <v>24.49999999999988</v>
      </c>
      <c r="E75" s="15"/>
      <c r="F75" s="21"/>
      <c r="G75" s="21"/>
      <c r="H75" s="21"/>
      <c r="I75" s="21"/>
      <c r="J75" s="21"/>
      <c r="K75" s="21"/>
      <c r="L75" s="21"/>
      <c r="M75" s="15"/>
      <c r="N75" s="42"/>
      <c r="O75" s="86">
        <f t="shared" si="19"/>
        <v>2.2557980684445026E-05</v>
      </c>
      <c r="P75" s="86">
        <f t="shared" si="19"/>
        <v>0.0857900842979957</v>
      </c>
      <c r="Q75" s="86">
        <f t="shared" si="19"/>
        <v>40.50201176517712</v>
      </c>
      <c r="R75" s="86">
        <f t="shared" si="19"/>
        <v>5529.118535167362</v>
      </c>
      <c r="S75" s="86">
        <f t="shared" si="19"/>
        <v>331243.40914481203</v>
      </c>
      <c r="T75" s="86">
        <f t="shared" si="19"/>
        <v>11034965.026684335</v>
      </c>
      <c r="U75" s="87">
        <f t="shared" si="19"/>
        <v>236882887.34206632</v>
      </c>
      <c r="V75" s="15"/>
      <c r="W75" s="96">
        <f t="shared" si="21"/>
        <v>10923.679132954776</v>
      </c>
      <c r="X75" s="97">
        <f t="shared" si="22"/>
        <v>236631.42242032773</v>
      </c>
      <c r="Y75" s="98">
        <f t="shared" si="23"/>
        <v>9563.991835552371</v>
      </c>
      <c r="Z75" s="97">
        <f t="shared" si="24"/>
        <v>208304.66301826213</v>
      </c>
      <c r="AA75" s="98">
        <f t="shared" si="25"/>
        <v>9471.558969243113</v>
      </c>
      <c r="AB75" s="98">
        <f t="shared" si="26"/>
        <v>206373.2554299444</v>
      </c>
      <c r="AC75" s="91"/>
      <c r="AD75" s="92">
        <f t="shared" si="27"/>
        <v>9471.109588186453</v>
      </c>
    </row>
    <row r="76" spans="1:30" ht="11.25">
      <c r="A76" s="15"/>
      <c r="B76" s="93">
        <f>IF(C76&gt;$K$1,0,'Ranges and Data'!$A$10)</f>
        <v>535.2234266961229</v>
      </c>
      <c r="C76" s="94">
        <f t="shared" si="28"/>
        <v>33114.91666666671</v>
      </c>
      <c r="D76" s="85">
        <f t="shared" si="20"/>
        <v>24.416666666666554</v>
      </c>
      <c r="E76" s="15"/>
      <c r="F76" s="21"/>
      <c r="G76" s="21"/>
      <c r="H76" s="21"/>
      <c r="I76" s="21"/>
      <c r="J76" s="21"/>
      <c r="K76" s="21"/>
      <c r="L76" s="21"/>
      <c r="M76" s="15"/>
      <c r="N76" s="42"/>
      <c r="O76" s="86">
        <f t="shared" si="19"/>
        <v>2.3899348018439173E-05</v>
      </c>
      <c r="P76" s="86">
        <f t="shared" si="19"/>
        <v>0.08837828937616891</v>
      </c>
      <c r="Q76" s="86">
        <f t="shared" si="19"/>
        <v>40.85918688081443</v>
      </c>
      <c r="R76" s="86">
        <f t="shared" si="19"/>
        <v>5485.377365747368</v>
      </c>
      <c r="S76" s="86">
        <f t="shared" si="19"/>
        <v>324079.80314774474</v>
      </c>
      <c r="T76" s="86">
        <f t="shared" si="19"/>
        <v>10668336.101346264</v>
      </c>
      <c r="U76" s="87">
        <f t="shared" si="19"/>
        <v>226636372.95601517</v>
      </c>
      <c r="V76" s="15"/>
      <c r="W76" s="96">
        <f t="shared" si="21"/>
        <v>10812.19121913561</v>
      </c>
      <c r="X76" s="97">
        <f t="shared" si="22"/>
        <v>233419.6895967226</v>
      </c>
      <c r="Y76" s="98">
        <f t="shared" si="23"/>
        <v>9470.6620435371</v>
      </c>
      <c r="Z76" s="97">
        <f t="shared" si="24"/>
        <v>205570.3259541591</v>
      </c>
      <c r="AA76" s="98">
        <f t="shared" si="25"/>
        <v>9379.441004540502</v>
      </c>
      <c r="AB76" s="98">
        <f t="shared" si="26"/>
        <v>203670.99896576616</v>
      </c>
      <c r="AC76" s="91"/>
      <c r="AD76" s="92">
        <f t="shared" si="27"/>
        <v>9378.997507654623</v>
      </c>
    </row>
    <row r="77" spans="1:30" ht="11.25">
      <c r="A77" s="15"/>
      <c r="B77" s="93">
        <f>IF(C77&gt;$K$1,0,'Ranges and Data'!$A$10)</f>
        <v>535.2234266961229</v>
      </c>
      <c r="C77" s="94">
        <f t="shared" si="28"/>
        <v>33145.33333333337</v>
      </c>
      <c r="D77" s="85">
        <f t="shared" si="20"/>
        <v>24.333333333333226</v>
      </c>
      <c r="E77" s="15"/>
      <c r="F77" s="21"/>
      <c r="G77" s="21"/>
      <c r="H77" s="21"/>
      <c r="I77" s="21"/>
      <c r="J77" s="21"/>
      <c r="K77" s="21"/>
      <c r="L77" s="21"/>
      <c r="M77" s="15"/>
      <c r="N77" s="42"/>
      <c r="O77" s="86">
        <f t="shared" si="19"/>
        <v>2.5320477204785173E-05</v>
      </c>
      <c r="P77" s="86">
        <f t="shared" si="19"/>
        <v>0.09104457813477554</v>
      </c>
      <c r="Q77" s="86">
        <f t="shared" si="19"/>
        <v>41.21951181685991</v>
      </c>
      <c r="R77" s="86">
        <f t="shared" si="19"/>
        <v>5441.982235192347</v>
      </c>
      <c r="S77" s="86">
        <f t="shared" si="19"/>
        <v>317071.12023582985</v>
      </c>
      <c r="T77" s="86">
        <f t="shared" si="19"/>
        <v>10313888.163312597</v>
      </c>
      <c r="U77" s="87">
        <f t="shared" si="19"/>
        <v>216833077.82586557</v>
      </c>
      <c r="V77" s="15"/>
      <c r="W77" s="96">
        <f t="shared" si="21"/>
        <v>10701.84115958481</v>
      </c>
      <c r="X77" s="97">
        <f t="shared" si="22"/>
        <v>230248.86668131084</v>
      </c>
      <c r="Y77" s="98">
        <f t="shared" si="23"/>
        <v>9378.2430061761</v>
      </c>
      <c r="Z77" s="97">
        <f t="shared" si="24"/>
        <v>202869.51838099974</v>
      </c>
      <c r="AA77" s="98">
        <f t="shared" si="25"/>
        <v>9288.21895564736</v>
      </c>
      <c r="AB77" s="98">
        <f t="shared" si="26"/>
        <v>201001.7845456685</v>
      </c>
      <c r="AC77" s="91"/>
      <c r="AD77" s="92">
        <f t="shared" si="27"/>
        <v>9287.781270983627</v>
      </c>
    </row>
    <row r="78" spans="1:30" ht="11.25">
      <c r="A78" s="15"/>
      <c r="B78" s="93">
        <f>IF(C78&gt;$K$1,0,'Ranges and Data'!$A$10)</f>
        <v>535.2234266961229</v>
      </c>
      <c r="C78" s="94">
        <f t="shared" si="28"/>
        <v>33175.75000000004</v>
      </c>
      <c r="D78" s="85">
        <f t="shared" si="20"/>
        <v>24.2499999999999</v>
      </c>
      <c r="E78" s="15"/>
      <c r="F78" s="21"/>
      <c r="G78" s="21"/>
      <c r="H78" s="21"/>
      <c r="I78" s="21"/>
      <c r="J78" s="21"/>
      <c r="K78" s="21"/>
      <c r="L78" s="21"/>
      <c r="M78" s="15"/>
      <c r="N78" s="42"/>
      <c r="O78" s="86">
        <f t="shared" si="19"/>
        <v>2.6826111130035513E-05</v>
      </c>
      <c r="P78" s="86">
        <f t="shared" si="19"/>
        <v>0.09379130628403402</v>
      </c>
      <c r="Q78" s="86">
        <f t="shared" si="19"/>
        <v>41.58301435063672</v>
      </c>
      <c r="R78" s="86">
        <f t="shared" si="19"/>
        <v>5398.930405969273</v>
      </c>
      <c r="S78" s="86">
        <f t="shared" si="19"/>
        <v>310214.00997880654</v>
      </c>
      <c r="T78" s="86">
        <f t="shared" si="19"/>
        <v>9971216.507876609</v>
      </c>
      <c r="U78" s="87">
        <f t="shared" si="19"/>
        <v>207453830.23122543</v>
      </c>
      <c r="V78" s="15"/>
      <c r="W78" s="96">
        <f t="shared" si="21"/>
        <v>10592.617341273753</v>
      </c>
      <c r="X78" s="97">
        <f t="shared" si="22"/>
        <v>227118.4531617042</v>
      </c>
      <c r="Y78" s="98">
        <f t="shared" si="23"/>
        <v>9286.725835910293</v>
      </c>
      <c r="Z78" s="97">
        <f t="shared" si="24"/>
        <v>200201.84629064504</v>
      </c>
      <c r="AA78" s="98">
        <f t="shared" si="25"/>
        <v>9197.884109115243</v>
      </c>
      <c r="AB78" s="98">
        <f t="shared" si="26"/>
        <v>198365.22505941737</v>
      </c>
      <c r="AC78" s="91"/>
      <c r="AD78" s="92">
        <f t="shared" si="27"/>
        <v>9197.452165567935</v>
      </c>
    </row>
    <row r="79" spans="1:30" ht="11.25">
      <c r="A79" s="15"/>
      <c r="B79" s="93">
        <f>IF(C79&gt;$K$1,0,'Ranges and Data'!$A$10)</f>
        <v>535.2234266961229</v>
      </c>
      <c r="C79" s="94">
        <f t="shared" si="28"/>
        <v>33206.1666666667</v>
      </c>
      <c r="D79" s="85">
        <f t="shared" si="20"/>
        <v>24.166666666666572</v>
      </c>
      <c r="E79" s="15"/>
      <c r="F79" s="21"/>
      <c r="G79" s="21"/>
      <c r="H79" s="21"/>
      <c r="I79" s="21"/>
      <c r="J79" s="21"/>
      <c r="K79" s="21"/>
      <c r="L79" s="21"/>
      <c r="M79" s="15"/>
      <c r="N79" s="42"/>
      <c r="O79" s="86">
        <f aca="true" t="shared" si="29" ref="O79:U88">$B79*O$7^$D79</f>
        <v>2.8421274707453658E-05</v>
      </c>
      <c r="P79" s="86">
        <f t="shared" si="29"/>
        <v>0.09662090060369506</v>
      </c>
      <c r="Q79" s="86">
        <f t="shared" si="29"/>
        <v>41.94972250442788</v>
      </c>
      <c r="R79" s="86">
        <f t="shared" si="29"/>
        <v>5356.219162201893</v>
      </c>
      <c r="S79" s="86">
        <f t="shared" si="29"/>
        <v>303505.1944041937</v>
      </c>
      <c r="T79" s="86">
        <f t="shared" si="29"/>
        <v>9639929.876359804</v>
      </c>
      <c r="U79" s="87">
        <f t="shared" si="29"/>
        <v>198480287.73621103</v>
      </c>
      <c r="V79" s="15"/>
      <c r="W79" s="96">
        <f t="shared" si="21"/>
        <v>10484.50826969725</v>
      </c>
      <c r="X79" s="97">
        <f t="shared" si="22"/>
        <v>224027.95448070957</v>
      </c>
      <c r="Y79" s="98">
        <f t="shared" si="23"/>
        <v>9196.101731909443</v>
      </c>
      <c r="Z79" s="97">
        <f t="shared" si="24"/>
        <v>197566.92017184952</v>
      </c>
      <c r="AA79" s="98">
        <f t="shared" si="25"/>
        <v>9108.42783624046</v>
      </c>
      <c r="AB79" s="98">
        <f t="shared" si="26"/>
        <v>195760.93780119822</v>
      </c>
      <c r="AC79" s="91"/>
      <c r="AD79" s="92">
        <f t="shared" si="27"/>
        <v>9108.001563537184</v>
      </c>
    </row>
    <row r="80" spans="1:30" ht="11.25">
      <c r="A80" s="15"/>
      <c r="B80" s="93">
        <f>IF(C80&gt;$K$1,0,'Ranges and Data'!$A$10)</f>
        <v>535.2234266961229</v>
      </c>
      <c r="C80" s="94">
        <f t="shared" si="28"/>
        <v>33236.583333333365</v>
      </c>
      <c r="D80" s="85">
        <f t="shared" si="20"/>
        <v>24.083333333333247</v>
      </c>
      <c r="E80" s="15"/>
      <c r="F80" s="21"/>
      <c r="G80" s="21"/>
      <c r="H80" s="21"/>
      <c r="I80" s="21"/>
      <c r="J80" s="21"/>
      <c r="K80" s="21"/>
      <c r="L80" s="21"/>
      <c r="M80" s="15"/>
      <c r="N80" s="42"/>
      <c r="O80" s="86">
        <f t="shared" si="29"/>
        <v>3.0111291647194324E-05</v>
      </c>
      <c r="P80" s="86">
        <f t="shared" si="29"/>
        <v>0.09953586108714099</v>
      </c>
      <c r="Q80" s="86">
        <f t="shared" si="29"/>
        <v>42.31966454763656</v>
      </c>
      <c r="R80" s="86">
        <f t="shared" si="29"/>
        <v>5313.845809499408</v>
      </c>
      <c r="S80" s="86">
        <f t="shared" si="29"/>
        <v>296941.46643029025</v>
      </c>
      <c r="T80" s="86">
        <f t="shared" si="29"/>
        <v>9319650.0093772</v>
      </c>
      <c r="U80" s="87">
        <f t="shared" si="29"/>
        <v>189894901.318239</v>
      </c>
      <c r="V80" s="15"/>
      <c r="W80" s="96">
        <f t="shared" si="21"/>
        <v>10377.50256766395</v>
      </c>
      <c r="X80" s="97">
        <f t="shared" si="22"/>
        <v>220976.88196690768</v>
      </c>
      <c r="Y80" s="98">
        <f t="shared" si="23"/>
        <v>9106.361979225854</v>
      </c>
      <c r="Z80" s="97">
        <f t="shared" si="24"/>
        <v>194964.354960017</v>
      </c>
      <c r="AA80" s="98">
        <f t="shared" si="25"/>
        <v>9019.841592239894</v>
      </c>
      <c r="AB80" s="98">
        <f t="shared" si="26"/>
        <v>193188.54442056097</v>
      </c>
      <c r="AC80" s="91"/>
      <c r="AD80" s="92">
        <f t="shared" si="27"/>
        <v>9019.420920932116</v>
      </c>
    </row>
    <row r="81" spans="1:30" ht="11.25">
      <c r="A81" s="15"/>
      <c r="B81" s="93">
        <f>IF(C81&gt;$K$1,0,'Ranges and Data'!$A$10)</f>
        <v>535.2234266961229</v>
      </c>
      <c r="C81" s="94">
        <f t="shared" si="28"/>
        <v>33267.00000000003</v>
      </c>
      <c r="D81" s="85">
        <f t="shared" si="20"/>
        <v>23.999999999999922</v>
      </c>
      <c r="E81" s="15"/>
      <c r="F81" s="21"/>
      <c r="G81" s="21"/>
      <c r="H81" s="21"/>
      <c r="I81" s="21"/>
      <c r="J81" s="21"/>
      <c r="K81" s="21"/>
      <c r="L81" s="21"/>
      <c r="M81" s="15"/>
      <c r="N81" s="42"/>
      <c r="O81" s="86">
        <f t="shared" si="29"/>
        <v>3.190180222369148E-05</v>
      </c>
      <c r="P81" s="86">
        <f t="shared" si="29"/>
        <v>0.1025387631501723</v>
      </c>
      <c r="Q81" s="86">
        <f t="shared" si="29"/>
        <v>42.69286899896532</v>
      </c>
      <c r="R81" s="86">
        <f t="shared" si="29"/>
        <v>5271.807674786492</v>
      </c>
      <c r="S81" s="86">
        <f t="shared" si="29"/>
        <v>290519.68833306007</v>
      </c>
      <c r="T81" s="86">
        <f t="shared" si="29"/>
        <v>9010011.214944938</v>
      </c>
      <c r="U81" s="87">
        <f t="shared" si="29"/>
        <v>181680881.04844484</v>
      </c>
      <c r="V81" s="15"/>
      <c r="W81" s="96">
        <f t="shared" si="21"/>
        <v>10271.588974098984</v>
      </c>
      <c r="X81" s="97">
        <f t="shared" si="22"/>
        <v>217964.75276602546</v>
      </c>
      <c r="Y81" s="98">
        <f t="shared" si="23"/>
        <v>9017.497947956239</v>
      </c>
      <c r="Z81" s="97">
        <f t="shared" si="24"/>
        <v>192393.7699875067</v>
      </c>
      <c r="AA81" s="98">
        <f t="shared" si="25"/>
        <v>8932.116915434812</v>
      </c>
      <c r="AB81" s="98">
        <f t="shared" si="26"/>
        <v>190647.67087390172</v>
      </c>
      <c r="AC81" s="91"/>
      <c r="AD81" s="92">
        <f t="shared" si="27"/>
        <v>8931.70177688846</v>
      </c>
    </row>
    <row r="82" spans="1:30" ht="11.25">
      <c r="A82" s="15"/>
      <c r="B82" s="93">
        <f>IF(C82&gt;$K$1,0,'Ranges and Data'!$A$10)</f>
        <v>535.2234266961229</v>
      </c>
      <c r="C82" s="94">
        <f t="shared" si="28"/>
        <v>33297.41666666669</v>
      </c>
      <c r="D82" s="85">
        <f t="shared" si="20"/>
        <v>23.916666666666593</v>
      </c>
      <c r="E82" s="15"/>
      <c r="F82" s="21"/>
      <c r="G82" s="21"/>
      <c r="H82" s="21"/>
      <c r="I82" s="21"/>
      <c r="J82" s="21"/>
      <c r="K82" s="21"/>
      <c r="L82" s="21"/>
      <c r="M82" s="15"/>
      <c r="N82" s="42"/>
      <c r="O82" s="86">
        <f t="shared" si="29"/>
        <v>3.379878209955031E-05</v>
      </c>
      <c r="P82" s="86">
        <f t="shared" si="29"/>
        <v>0.10563225990642944</v>
      </c>
      <c r="Q82" s="86">
        <f t="shared" si="29"/>
        <v>43.069364628614615</v>
      </c>
      <c r="R82" s="86">
        <f t="shared" si="29"/>
        <v>5230.102106134671</v>
      </c>
      <c r="S82" s="86">
        <f t="shared" si="29"/>
        <v>284236.79024617595</v>
      </c>
      <c r="T82" s="86">
        <f t="shared" si="29"/>
        <v>8710659.950937193</v>
      </c>
      <c r="U82" s="87">
        <f t="shared" si="29"/>
        <v>173822163.25662223</v>
      </c>
      <c r="V82" s="15"/>
      <c r="W82" s="96">
        <f t="shared" si="21"/>
        <v>10166.756342858882</v>
      </c>
      <c r="X82" s="97">
        <f t="shared" si="22"/>
        <v>214991.0897730983</v>
      </c>
      <c r="Y82" s="98">
        <f t="shared" si="23"/>
        <v>8929.501092411843</v>
      </c>
      <c r="Z82" s="97">
        <f t="shared" si="24"/>
        <v>189854.78893448773</v>
      </c>
      <c r="AA82" s="98">
        <f t="shared" si="25"/>
        <v>8845.245426442601</v>
      </c>
      <c r="AB82" s="98">
        <f t="shared" si="26"/>
        <v>188137.94737647622</v>
      </c>
      <c r="AC82" s="91"/>
      <c r="AD82" s="92">
        <f t="shared" si="27"/>
        <v>8844.8357528288</v>
      </c>
    </row>
    <row r="83" spans="1:30" ht="11.25">
      <c r="A83" s="15"/>
      <c r="B83" s="93">
        <f>IF(C83&gt;$K$1,0,'Ranges and Data'!$A$10)</f>
        <v>535.2234266961229</v>
      </c>
      <c r="C83" s="94">
        <f t="shared" si="28"/>
        <v>33327.83333333336</v>
      </c>
      <c r="D83" s="85">
        <f t="shared" si="20"/>
        <v>23.833333333333268</v>
      </c>
      <c r="E83" s="15"/>
      <c r="F83" s="21"/>
      <c r="G83" s="21"/>
      <c r="H83" s="21"/>
      <c r="I83" s="21"/>
      <c r="J83" s="21"/>
      <c r="K83" s="21"/>
      <c r="L83" s="21"/>
      <c r="M83" s="15"/>
      <c r="N83" s="42"/>
      <c r="O83" s="86">
        <f t="shared" si="29"/>
        <v>3.580856226876487E-05</v>
      </c>
      <c r="P83" s="86">
        <f t="shared" si="29"/>
        <v>0.10881908451146273</v>
      </c>
      <c r="Q83" s="86">
        <f t="shared" si="29"/>
        <v>43.44918046050069</v>
      </c>
      <c r="R83" s="86">
        <f t="shared" si="29"/>
        <v>5188.726472595031</v>
      </c>
      <c r="S83" s="86">
        <f t="shared" si="29"/>
        <v>278089.768693501</v>
      </c>
      <c r="T83" s="86">
        <f t="shared" si="29"/>
        <v>8421254.421415832</v>
      </c>
      <c r="U83" s="87">
        <f t="shared" si="29"/>
        <v>166303379.1164597</v>
      </c>
      <c r="V83" s="15"/>
      <c r="W83" s="96">
        <f t="shared" si="21"/>
        <v>10062.993641558582</v>
      </c>
      <c r="X83" s="97">
        <f t="shared" si="22"/>
        <v>212055.42156541016</v>
      </c>
      <c r="Y83" s="98">
        <f t="shared" si="23"/>
        <v>8842.362950296649</v>
      </c>
      <c r="Z83" s="97">
        <f t="shared" si="24"/>
        <v>187347.03978033338</v>
      </c>
      <c r="AA83" s="98">
        <f t="shared" si="25"/>
        <v>8759.218827376399</v>
      </c>
      <c r="AB83" s="98">
        <f t="shared" si="26"/>
        <v>185659.00835494013</v>
      </c>
      <c r="AC83" s="91"/>
      <c r="AD83" s="92">
        <f t="shared" si="27"/>
        <v>8758.814551662297</v>
      </c>
    </row>
    <row r="84" spans="1:30" ht="11.25">
      <c r="A84" s="15"/>
      <c r="B84" s="93">
        <f>IF(C84&gt;$K$1,0,'Ranges and Data'!$A$10)</f>
        <v>535.2234266961229</v>
      </c>
      <c r="C84" s="94">
        <f t="shared" si="28"/>
        <v>33358.25000000002</v>
      </c>
      <c r="D84" s="85">
        <f t="shared" si="20"/>
        <v>23.74999999999994</v>
      </c>
      <c r="E84" s="15"/>
      <c r="F84" s="21"/>
      <c r="G84" s="21"/>
      <c r="H84" s="21"/>
      <c r="I84" s="21"/>
      <c r="J84" s="21"/>
      <c r="K84" s="21"/>
      <c r="L84" s="21"/>
      <c r="M84" s="15"/>
      <c r="N84" s="42"/>
      <c r="O84" s="86">
        <f t="shared" si="29"/>
        <v>3.7937850185823014E-05</v>
      </c>
      <c r="P84" s="86">
        <f t="shared" si="29"/>
        <v>0.11210205257752073</v>
      </c>
      <c r="Q84" s="86">
        <f t="shared" si="29"/>
        <v>43.83234577449302</v>
      </c>
      <c r="R84" s="86">
        <f t="shared" si="29"/>
        <v>5147.67816403224</v>
      </c>
      <c r="S84" s="86">
        <f t="shared" si="29"/>
        <v>272075.68515330594</v>
      </c>
      <c r="T84" s="86">
        <f t="shared" si="29"/>
        <v>8141464.186371486</v>
      </c>
      <c r="U84" s="87">
        <f t="shared" si="29"/>
        <v>159109824.58963937</v>
      </c>
      <c r="V84" s="15"/>
      <c r="W84" s="96">
        <f t="shared" si="21"/>
        <v>9960.289950410392</v>
      </c>
      <c r="X84" s="97">
        <f t="shared" si="22"/>
        <v>209157.28233620353</v>
      </c>
      <c r="Y84" s="98">
        <f t="shared" si="23"/>
        <v>8756.075141893574</v>
      </c>
      <c r="Z84" s="97">
        <f t="shared" si="24"/>
        <v>184870.15475554945</v>
      </c>
      <c r="AA84" s="98">
        <f t="shared" si="25"/>
        <v>8674.028901052448</v>
      </c>
      <c r="AB84" s="98">
        <f t="shared" si="26"/>
        <v>183210.4924004079</v>
      </c>
      <c r="AC84" s="91"/>
      <c r="AD84" s="92">
        <f t="shared" si="27"/>
        <v>8673.629956992158</v>
      </c>
    </row>
    <row r="85" spans="1:30" ht="11.25">
      <c r="A85" s="15"/>
      <c r="B85" s="93">
        <f>IF(C85&gt;$K$1,0,'Ranges and Data'!$A$10)</f>
        <v>535.2234266961229</v>
      </c>
      <c r="C85" s="94">
        <f t="shared" si="28"/>
        <v>33388.666666666686</v>
      </c>
      <c r="D85" s="85">
        <f t="shared" si="20"/>
        <v>23.666666666666615</v>
      </c>
      <c r="E85" s="15"/>
      <c r="F85" s="21"/>
      <c r="G85" s="21"/>
      <c r="H85" s="21"/>
      <c r="I85" s="21"/>
      <c r="J85" s="21"/>
      <c r="K85" s="21"/>
      <c r="L85" s="21"/>
      <c r="M85" s="15"/>
      <c r="N85" s="42"/>
      <c r="O85" s="86">
        <f t="shared" si="29"/>
        <v>4.0193752151211275E-05</v>
      </c>
      <c r="P85" s="86">
        <f t="shared" si="29"/>
        <v>0.11548406466118943</v>
      </c>
      <c r="Q85" s="86">
        <f t="shared" si="29"/>
        <v>44.21889010867148</v>
      </c>
      <c r="R85" s="86">
        <f t="shared" si="29"/>
        <v>5106.954590959895</v>
      </c>
      <c r="S85" s="86">
        <f t="shared" si="29"/>
        <v>266191.66465354007</v>
      </c>
      <c r="T85" s="86">
        <f t="shared" si="29"/>
        <v>7870969.784430945</v>
      </c>
      <c r="U85" s="87">
        <f t="shared" si="29"/>
        <v>152227431.6700296</v>
      </c>
      <c r="V85" s="15"/>
      <c r="W85" s="96">
        <f t="shared" si="21"/>
        <v>9858.634461074824</v>
      </c>
      <c r="X85" s="97">
        <f t="shared" si="22"/>
        <v>206296.21182915146</v>
      </c>
      <c r="Y85" s="98">
        <f t="shared" si="23"/>
        <v>8670.62936925864</v>
      </c>
      <c r="Z85" s="97">
        <f t="shared" si="24"/>
        <v>182423.77029423218</v>
      </c>
      <c r="AA85" s="98">
        <f t="shared" si="25"/>
        <v>8589.66751020525</v>
      </c>
      <c r="AB85" s="98">
        <f t="shared" si="26"/>
        <v>180792.04222202886</v>
      </c>
      <c r="AC85" s="91"/>
      <c r="AD85" s="92">
        <f t="shared" si="27"/>
        <v>8589.273832330871</v>
      </c>
    </row>
    <row r="86" spans="1:30" ht="11.25">
      <c r="A86" s="15"/>
      <c r="B86" s="93">
        <f>IF(C86&gt;$K$1,0,'Ranges and Data'!$A$10)</f>
        <v>535.2234266961229</v>
      </c>
      <c r="C86" s="94">
        <f t="shared" si="28"/>
        <v>33419.08333333335</v>
      </c>
      <c r="D86" s="85">
        <f t="shared" si="20"/>
        <v>23.583333333333286</v>
      </c>
      <c r="E86" s="15"/>
      <c r="F86" s="21"/>
      <c r="G86" s="21"/>
      <c r="H86" s="21"/>
      <c r="I86" s="21"/>
      <c r="J86" s="21"/>
      <c r="K86" s="21"/>
      <c r="L86" s="21"/>
      <c r="M86" s="15"/>
      <c r="N86" s="42"/>
      <c r="O86" s="86">
        <f t="shared" si="29"/>
        <v>4.258379702803274E-05</v>
      </c>
      <c r="P86" s="86">
        <f t="shared" si="29"/>
        <v>0.11896810882608318</v>
      </c>
      <c r="Q86" s="86">
        <f t="shared" si="29"/>
        <v>44.60884326160343</v>
      </c>
      <c r="R86" s="86">
        <f t="shared" si="29"/>
        <v>5066.553184377166</v>
      </c>
      <c r="S86" s="86">
        <f t="shared" si="29"/>
        <v>260434.89439747776</v>
      </c>
      <c r="T86" s="86">
        <f t="shared" si="29"/>
        <v>7609462.368099658</v>
      </c>
      <c r="U86" s="87">
        <f t="shared" si="29"/>
        <v>145642740.87171867</v>
      </c>
      <c r="V86" s="15"/>
      <c r="W86" s="96">
        <f t="shared" si="21"/>
        <v>9758.016475523133</v>
      </c>
      <c r="X86" s="97">
        <f t="shared" si="22"/>
        <v>203471.75527358096</v>
      </c>
      <c r="Y86" s="98">
        <f t="shared" si="23"/>
        <v>8586.017415422973</v>
      </c>
      <c r="Z86" s="97">
        <f t="shared" si="24"/>
        <v>180007.52698704845</v>
      </c>
      <c r="AA86" s="98">
        <f t="shared" si="25"/>
        <v>8506.126596710255</v>
      </c>
      <c r="AB86" s="98">
        <f t="shared" si="26"/>
        <v>178403.3046010697</v>
      </c>
      <c r="AC86" s="91"/>
      <c r="AD86" s="92">
        <f t="shared" si="27"/>
        <v>8505.738120323009</v>
      </c>
    </row>
    <row r="87" spans="1:30" ht="11.25">
      <c r="A87" s="15"/>
      <c r="B87" s="93">
        <f>IF(C87&gt;$K$1,0,'Ranges and Data'!$A$10)</f>
        <v>535.2234266961229</v>
      </c>
      <c r="C87" s="94">
        <f t="shared" si="28"/>
        <v>33449.500000000015</v>
      </c>
      <c r="D87" s="85">
        <f t="shared" si="20"/>
        <v>23.49999999999996</v>
      </c>
      <c r="E87" s="15"/>
      <c r="F87" s="21"/>
      <c r="G87" s="21"/>
      <c r="H87" s="21"/>
      <c r="I87" s="21"/>
      <c r="J87" s="21"/>
      <c r="K87" s="21"/>
      <c r="L87" s="21"/>
      <c r="M87" s="15"/>
      <c r="N87" s="42"/>
      <c r="O87" s="86">
        <f t="shared" si="29"/>
        <v>4.511596136888741E-05</v>
      </c>
      <c r="P87" s="86">
        <f t="shared" si="29"/>
        <v>0.12255726328284741</v>
      </c>
      <c r="Q87" s="86">
        <f t="shared" si="29"/>
        <v>45.002235294640876</v>
      </c>
      <c r="R87" s="86">
        <f t="shared" si="29"/>
        <v>5026.471395606732</v>
      </c>
      <c r="S87" s="86">
        <f t="shared" si="29"/>
        <v>254802.6224190918</v>
      </c>
      <c r="T87" s="86">
        <f t="shared" si="29"/>
        <v>7356643.351123129</v>
      </c>
      <c r="U87" s="87">
        <f t="shared" si="29"/>
        <v>139342874.90710378</v>
      </c>
      <c r="V87" s="15"/>
      <c r="W87" s="96">
        <f t="shared" si="21"/>
        <v>9658.42540491148</v>
      </c>
      <c r="X87" s="97">
        <f t="shared" si="22"/>
        <v>200683.46332044157</v>
      </c>
      <c r="Y87" s="98">
        <f t="shared" si="23"/>
        <v>8502.23114360266</v>
      </c>
      <c r="Z87" s="97">
        <f t="shared" si="24"/>
        <v>177621.06953473494</v>
      </c>
      <c r="AA87" s="98">
        <f t="shared" si="25"/>
        <v>8423.398180814182</v>
      </c>
      <c r="AB87" s="98">
        <f t="shared" si="26"/>
        <v>176043.93034550283</v>
      </c>
      <c r="AC87" s="91"/>
      <c r="AD87" s="92">
        <f t="shared" si="27"/>
        <v>8423.014841975655</v>
      </c>
    </row>
    <row r="88" spans="1:30" ht="11.25">
      <c r="A88" s="15"/>
      <c r="B88" s="93">
        <f>IF(C88&gt;$K$1,0,'Ranges and Data'!$A$10)</f>
        <v>535.2234266961229</v>
      </c>
      <c r="C88" s="94">
        <f t="shared" si="28"/>
        <v>33479.91666666668</v>
      </c>
      <c r="D88" s="85">
        <f t="shared" si="20"/>
        <v>23.416666666666632</v>
      </c>
      <c r="E88" s="15"/>
      <c r="F88" s="21"/>
      <c r="G88" s="21"/>
      <c r="H88" s="21"/>
      <c r="I88" s="21"/>
      <c r="J88" s="21"/>
      <c r="K88" s="21"/>
      <c r="L88" s="21"/>
      <c r="M88" s="15"/>
      <c r="N88" s="42"/>
      <c r="O88" s="86">
        <f t="shared" si="29"/>
        <v>4.779869603687572E-05</v>
      </c>
      <c r="P88" s="86">
        <f t="shared" si="29"/>
        <v>0.12625469910880927</v>
      </c>
      <c r="Q88" s="86">
        <f t="shared" si="29"/>
        <v>45.39909653423787</v>
      </c>
      <c r="R88" s="86">
        <f t="shared" si="29"/>
        <v>4986.706696134009</v>
      </c>
      <c r="S88" s="86">
        <f t="shared" si="29"/>
        <v>249292.1562675012</v>
      </c>
      <c r="T88" s="86">
        <f t="shared" si="29"/>
        <v>7112224.067564408</v>
      </c>
      <c r="U88" s="87">
        <f t="shared" si="29"/>
        <v>133315513.50354405</v>
      </c>
      <c r="V88" s="15"/>
      <c r="W88" s="96">
        <f t="shared" si="21"/>
        <v>9559.850768466591</v>
      </c>
      <c r="X88" s="97">
        <f t="shared" si="22"/>
        <v>197930.89197900885</v>
      </c>
      <c r="Y88" s="98">
        <f t="shared" si="23"/>
        <v>8419.262496416193</v>
      </c>
      <c r="Z88" s="97">
        <f t="shared" si="24"/>
        <v>175264.0467021061</v>
      </c>
      <c r="AA88" s="98">
        <f t="shared" si="25"/>
        <v>8341.47436037279</v>
      </c>
      <c r="AB88" s="98">
        <f t="shared" si="26"/>
        <v>173713.57424509132</v>
      </c>
      <c r="AC88" s="91"/>
      <c r="AD88" s="92">
        <f t="shared" si="27"/>
        <v>8341.096095896246</v>
      </c>
    </row>
    <row r="89" spans="1:30" ht="11.25">
      <c r="A89" s="15"/>
      <c r="B89" s="93">
        <f>IF(C89&gt;$K$1,0,'Ranges and Data'!$A$10)</f>
        <v>535.2234266961229</v>
      </c>
      <c r="C89" s="94">
        <f t="shared" si="28"/>
        <v>33510.33333333334</v>
      </c>
      <c r="D89" s="85">
        <f t="shared" si="20"/>
        <v>23.333333333333307</v>
      </c>
      <c r="E89" s="15"/>
      <c r="F89" s="21"/>
      <c r="G89" s="21"/>
      <c r="H89" s="21"/>
      <c r="I89" s="21"/>
      <c r="J89" s="21"/>
      <c r="K89" s="21"/>
      <c r="L89" s="21"/>
      <c r="M89" s="15"/>
      <c r="N89" s="42"/>
      <c r="O89" s="86">
        <f aca="true" t="shared" si="30" ref="O89:U98">$B89*O$7^$D89</f>
        <v>5.064095440956738E-05</v>
      </c>
      <c r="P89" s="86">
        <f t="shared" si="30"/>
        <v>0.13006368304967578</v>
      </c>
      <c r="Q89" s="86">
        <f t="shared" si="30"/>
        <v>45.799457574288404</v>
      </c>
      <c r="R89" s="86">
        <f t="shared" si="30"/>
        <v>4947.256577447626</v>
      </c>
      <c r="S89" s="86">
        <f t="shared" si="30"/>
        <v>243900.86171987426</v>
      </c>
      <c r="T89" s="86">
        <f t="shared" si="30"/>
        <v>6875925.442208622</v>
      </c>
      <c r="U89" s="87">
        <f t="shared" si="30"/>
        <v>127548869.30933814</v>
      </c>
      <c r="V89" s="15"/>
      <c r="W89" s="96">
        <f t="shared" si="21"/>
        <v>9462.282192382776</v>
      </c>
      <c r="X89" s="97">
        <f t="shared" si="22"/>
        <v>195213.60255431582</v>
      </c>
      <c r="Y89" s="98">
        <f t="shared" si="23"/>
        <v>8337.103495109694</v>
      </c>
      <c r="Z89" s="97">
        <f t="shared" si="24"/>
        <v>172936.1112725719</v>
      </c>
      <c r="AA89" s="98">
        <f t="shared" si="25"/>
        <v>8260.34731009608</v>
      </c>
      <c r="AB89" s="98">
        <f t="shared" si="26"/>
        <v>171411.89502696795</v>
      </c>
      <c r="AC89" s="91"/>
      <c r="AD89" s="92">
        <f t="shared" si="27"/>
        <v>8259.974057537902</v>
      </c>
    </row>
    <row r="90" spans="1:30" ht="11.25">
      <c r="A90" s="15"/>
      <c r="B90" s="93">
        <f>IF(C90&gt;$K$1,0,'Ranges and Data'!$A$10)</f>
        <v>535.2234266961229</v>
      </c>
      <c r="C90" s="94">
        <f t="shared" si="28"/>
        <v>33540.75000000001</v>
      </c>
      <c r="D90" s="85">
        <f t="shared" si="20"/>
        <v>23.24999999999998</v>
      </c>
      <c r="E90" s="15"/>
      <c r="F90" s="21"/>
      <c r="G90" s="21"/>
      <c r="H90" s="21"/>
      <c r="I90" s="21"/>
      <c r="J90" s="21"/>
      <c r="K90" s="21"/>
      <c r="L90" s="21"/>
      <c r="M90" s="15"/>
      <c r="N90" s="42"/>
      <c r="O90" s="86">
        <f t="shared" si="30"/>
        <v>5.365222226006827E-05</v>
      </c>
      <c r="P90" s="86">
        <f t="shared" si="30"/>
        <v>0.13398758040575923</v>
      </c>
      <c r="Q90" s="86">
        <f t="shared" si="30"/>
        <v>46.20334927848485</v>
      </c>
      <c r="R90" s="86">
        <f t="shared" si="30"/>
        <v>4908.118550881195</v>
      </c>
      <c r="S90" s="86">
        <f t="shared" si="30"/>
        <v>238626.16152216372</v>
      </c>
      <c r="T90" s="86">
        <f t="shared" si="30"/>
        <v>6647477.671917945</v>
      </c>
      <c r="U90" s="87">
        <f t="shared" si="30"/>
        <v>122031664.84190232</v>
      </c>
      <c r="V90" s="15"/>
      <c r="W90" s="96">
        <f t="shared" si="21"/>
        <v>9365.7094087302</v>
      </c>
      <c r="X90" s="97">
        <f t="shared" si="22"/>
        <v>192531.16158530232</v>
      </c>
      <c r="Y90" s="98">
        <f t="shared" si="23"/>
        <v>8255.746238789596</v>
      </c>
      <c r="Z90" s="97">
        <f t="shared" si="24"/>
        <v>170636.92000315347</v>
      </c>
      <c r="AA90" s="98">
        <f t="shared" si="25"/>
        <v>8180.0092808008285</v>
      </c>
      <c r="AB90" s="98">
        <f t="shared" si="26"/>
        <v>169138.55531170024</v>
      </c>
      <c r="AC90" s="91"/>
      <c r="AD90" s="92">
        <f t="shared" si="27"/>
        <v>8179.640978452027</v>
      </c>
    </row>
    <row r="91" spans="1:30" ht="11.25">
      <c r="A91" s="15"/>
      <c r="B91" s="93">
        <f>IF(C91&gt;$K$1,0,'Ranges and Data'!$A$10)</f>
        <v>535.2234266961229</v>
      </c>
      <c r="C91" s="94">
        <f t="shared" si="28"/>
        <v>33571.16666666667</v>
      </c>
      <c r="D91" s="85">
        <f t="shared" si="20"/>
        <v>23.166666666666654</v>
      </c>
      <c r="E91" s="15"/>
      <c r="F91" s="21"/>
      <c r="G91" s="21"/>
      <c r="H91" s="21"/>
      <c r="I91" s="21"/>
      <c r="J91" s="21"/>
      <c r="K91" s="21"/>
      <c r="L91" s="21"/>
      <c r="M91" s="15"/>
      <c r="N91" s="42"/>
      <c r="O91" s="86">
        <f t="shared" si="30"/>
        <v>5.6842549414904186E-05</v>
      </c>
      <c r="P91" s="86">
        <f t="shared" si="30"/>
        <v>0.13802985800527462</v>
      </c>
      <c r="Q91" s="86">
        <f t="shared" si="30"/>
        <v>46.610802782697256</v>
      </c>
      <c r="R91" s="86">
        <f t="shared" si="30"/>
        <v>4869.290147456306</v>
      </c>
      <c r="S91" s="86">
        <f t="shared" si="30"/>
        <v>233465.534157077</v>
      </c>
      <c r="T91" s="86">
        <f t="shared" si="30"/>
        <v>6426619.917573412</v>
      </c>
      <c r="U91" s="87">
        <f t="shared" si="30"/>
        <v>116753110.43307051</v>
      </c>
      <c r="V91" s="15"/>
      <c r="W91" s="96">
        <f t="shared" si="21"/>
        <v>9270.122254374319</v>
      </c>
      <c r="X91" s="97">
        <f t="shared" si="22"/>
        <v>189883.14078367664</v>
      </c>
      <c r="Y91" s="98">
        <f t="shared" si="23"/>
        <v>8175.182903662852</v>
      </c>
      <c r="Z91" s="97">
        <f t="shared" si="24"/>
        <v>168366.13357999542</v>
      </c>
      <c r="AA91" s="98">
        <f t="shared" si="25"/>
        <v>8100.452598670379</v>
      </c>
      <c r="AB91" s="98">
        <f t="shared" si="26"/>
        <v>166893.22156983885</v>
      </c>
      <c r="AC91" s="91"/>
      <c r="AD91" s="92">
        <f t="shared" si="27"/>
        <v>8100.089185548224</v>
      </c>
    </row>
    <row r="92" spans="1:30" ht="11.25">
      <c r="A92" s="15"/>
      <c r="B92" s="93">
        <f>IF(C92&gt;$K$1,0,'Ranges and Data'!$A$10)</f>
        <v>535.2234266961229</v>
      </c>
      <c r="C92" s="94">
        <f t="shared" si="28"/>
        <v>33601.583333333336</v>
      </c>
      <c r="D92" s="85">
        <f t="shared" si="20"/>
        <v>23.083333333333325</v>
      </c>
      <c r="E92" s="15"/>
      <c r="F92" s="21"/>
      <c r="G92" s="21"/>
      <c r="H92" s="21"/>
      <c r="I92" s="21"/>
      <c r="J92" s="21"/>
      <c r="K92" s="21"/>
      <c r="L92" s="21"/>
      <c r="M92" s="15"/>
      <c r="N92" s="42"/>
      <c r="O92" s="86">
        <f t="shared" si="30"/>
        <v>6.022258329438534E-05</v>
      </c>
      <c r="P92" s="86">
        <f t="shared" si="30"/>
        <v>0.14219408726734037</v>
      </c>
      <c r="Q92" s="86">
        <f t="shared" si="30"/>
        <v>47.02184949737356</v>
      </c>
      <c r="R92" s="86">
        <f t="shared" si="30"/>
        <v>4830.768917726771</v>
      </c>
      <c r="S92" s="86">
        <f t="shared" si="30"/>
        <v>228416.5126386894</v>
      </c>
      <c r="T92" s="86">
        <f t="shared" si="30"/>
        <v>6213100.0062516695</v>
      </c>
      <c r="U92" s="87">
        <f t="shared" si="30"/>
        <v>111702883.12838046</v>
      </c>
      <c r="V92" s="15"/>
      <c r="W92" s="96">
        <f t="shared" si="21"/>
        <v>9175.51066990632</v>
      </c>
      <c r="X92" s="97">
        <f t="shared" si="22"/>
        <v>187269.11697347846</v>
      </c>
      <c r="Y92" s="98">
        <f t="shared" si="23"/>
        <v>8095.405742284544</v>
      </c>
      <c r="Z92" s="97">
        <f t="shared" si="24"/>
        <v>166123.41657436723</v>
      </c>
      <c r="AA92" s="98">
        <f t="shared" si="25"/>
        <v>8021.669664521664</v>
      </c>
      <c r="AB92" s="98">
        <f t="shared" si="26"/>
        <v>164675.56407894217</v>
      </c>
      <c r="AC92" s="91"/>
      <c r="AD92" s="92">
        <f t="shared" si="27"/>
        <v>8021.311080361382</v>
      </c>
    </row>
    <row r="93" spans="1:30" ht="11.25">
      <c r="A93" s="15"/>
      <c r="B93" s="93">
        <f>IF(C93&gt;$K$1,0,'Ranges and Data'!$A$10)</f>
        <v>535.2234266961229</v>
      </c>
      <c r="C93" s="94">
        <f t="shared" si="28"/>
        <v>33632</v>
      </c>
      <c r="D93" s="85">
        <f t="shared" si="20"/>
        <v>23</v>
      </c>
      <c r="E93" s="15"/>
      <c r="F93" s="21"/>
      <c r="G93" s="21"/>
      <c r="H93" s="21"/>
      <c r="I93" s="21"/>
      <c r="J93" s="21"/>
      <c r="K93" s="21"/>
      <c r="L93" s="21"/>
      <c r="M93" s="15"/>
      <c r="N93" s="42"/>
      <c r="O93" s="86">
        <f t="shared" si="30"/>
        <v>6.380360444737946E-05</v>
      </c>
      <c r="P93" s="86">
        <f t="shared" si="30"/>
        <v>0.14648394735738482</v>
      </c>
      <c r="Q93" s="86">
        <f t="shared" si="30"/>
        <v>47.43652110996109</v>
      </c>
      <c r="R93" s="86">
        <f t="shared" si="30"/>
        <v>4792.552431624119</v>
      </c>
      <c r="S93" s="86">
        <f t="shared" si="30"/>
        <v>223476.6833331279</v>
      </c>
      <c r="T93" s="86">
        <f t="shared" si="30"/>
        <v>6006674.143296817</v>
      </c>
      <c r="U93" s="87">
        <f t="shared" si="30"/>
        <v>106871106.4990896</v>
      </c>
      <c r="V93" s="15"/>
      <c r="W93" s="96">
        <f t="shared" si="21"/>
        <v>9081.86469858451</v>
      </c>
      <c r="X93" s="97">
        <f t="shared" si="22"/>
        <v>184688.6720313384</v>
      </c>
      <c r="Y93" s="98">
        <f t="shared" si="23"/>
        <v>8016.407082812876</v>
      </c>
      <c r="Z93" s="97">
        <f t="shared" si="24"/>
        <v>163908.43739915048</v>
      </c>
      <c r="AA93" s="98">
        <f t="shared" si="25"/>
        <v>7943.652953079326</v>
      </c>
      <c r="AB93" s="98">
        <f t="shared" si="26"/>
        <v>162485.25688107315</v>
      </c>
      <c r="AC93" s="91"/>
      <c r="AD93" s="92">
        <f t="shared" si="27"/>
        <v>7943.299138325919</v>
      </c>
    </row>
    <row r="94" spans="1:30" ht="11.25">
      <c r="A94" s="15"/>
      <c r="B94" s="93">
        <f>IF(C94&gt;$K$1,0,'Ranges and Data'!$A$10)</f>
        <v>535.2234266961229</v>
      </c>
      <c r="C94" s="94">
        <f t="shared" si="28"/>
        <v>33662.416666666664</v>
      </c>
      <c r="D94" s="85">
        <f t="shared" si="20"/>
        <v>22.916666666666675</v>
      </c>
      <c r="E94" s="15"/>
      <c r="F94" s="21"/>
      <c r="G94" s="21"/>
      <c r="H94" s="21"/>
      <c r="I94" s="21"/>
      <c r="J94" s="21"/>
      <c r="K94" s="21"/>
      <c r="L94" s="21"/>
      <c r="M94" s="15"/>
      <c r="N94" s="42"/>
      <c r="O94" s="86">
        <f t="shared" si="30"/>
        <v>6.759756419909677E-05</v>
      </c>
      <c r="P94" s="86">
        <f t="shared" si="30"/>
        <v>0.15090322843775195</v>
      </c>
      <c r="Q94" s="86">
        <f t="shared" si="30"/>
        <v>47.85484958734914</v>
      </c>
      <c r="R94" s="86">
        <f t="shared" si="30"/>
        <v>4754.638278304284</v>
      </c>
      <c r="S94" s="86">
        <f t="shared" si="30"/>
        <v>218643.68480475532</v>
      </c>
      <c r="T94" s="86">
        <f t="shared" si="30"/>
        <v>5807106.633958319</v>
      </c>
      <c r="U94" s="87">
        <f t="shared" si="30"/>
        <v>102248331.3274294</v>
      </c>
      <c r="V94" s="15"/>
      <c r="W94" s="96">
        <f t="shared" si="21"/>
        <v>8989.174485286458</v>
      </c>
      <c r="X94" s="97">
        <f t="shared" si="22"/>
        <v>182141.3928274224</v>
      </c>
      <c r="Y94" s="98">
        <f t="shared" si="23"/>
        <v>7938.179328271364</v>
      </c>
      <c r="Z94" s="97">
        <f t="shared" si="24"/>
        <v>161720.86826580355</v>
      </c>
      <c r="AA94" s="98">
        <f t="shared" si="25"/>
        <v>7866.395012256947</v>
      </c>
      <c r="AB94" s="98">
        <f t="shared" si="26"/>
        <v>160321.97774076308</v>
      </c>
      <c r="AC94" s="91"/>
      <c r="AD94" s="92">
        <f t="shared" si="27"/>
        <v>7866.045908057047</v>
      </c>
    </row>
    <row r="95" spans="1:30" ht="11.25">
      <c r="A95" s="15"/>
      <c r="B95" s="93">
        <f>IF(C95&gt;$K$1,0,'Ranges and Data'!$A$10)</f>
        <v>535.2234266961229</v>
      </c>
      <c r="C95" s="94">
        <f t="shared" si="28"/>
        <v>33692.83333333333</v>
      </c>
      <c r="D95" s="85">
        <f t="shared" si="20"/>
        <v>22.833333333333346</v>
      </c>
      <c r="E95" s="15"/>
      <c r="F95" s="21"/>
      <c r="G95" s="21"/>
      <c r="H95" s="21"/>
      <c r="I95" s="21"/>
      <c r="J95" s="21"/>
      <c r="K95" s="21"/>
      <c r="L95" s="21"/>
      <c r="M95" s="15"/>
      <c r="N95" s="42"/>
      <c r="O95" s="86">
        <f t="shared" si="30"/>
        <v>7.161712453752594E-05</v>
      </c>
      <c r="P95" s="86">
        <f t="shared" si="30"/>
        <v>0.15545583501637106</v>
      </c>
      <c r="Q95" s="86">
        <f t="shared" si="30"/>
        <v>48.276867178333696</v>
      </c>
      <c r="R95" s="86">
        <f t="shared" si="30"/>
        <v>4717.024065995519</v>
      </c>
      <c r="S95" s="86">
        <f t="shared" si="30"/>
        <v>213915.20668731278</v>
      </c>
      <c r="T95" s="86">
        <f t="shared" si="30"/>
        <v>5614169.6142773945</v>
      </c>
      <c r="U95" s="87">
        <f t="shared" si="30"/>
        <v>97825517.12733324</v>
      </c>
      <c r="V95" s="15"/>
      <c r="W95" s="96">
        <f t="shared" si="21"/>
        <v>8897.430275471865</v>
      </c>
      <c r="X95" s="97">
        <f t="shared" si="22"/>
        <v>179626.87116705658</v>
      </c>
      <c r="Y95" s="98">
        <f t="shared" si="23"/>
        <v>7860.714955818276</v>
      </c>
      <c r="Z95" s="97">
        <f t="shared" si="24"/>
        <v>159560.3851418014</v>
      </c>
      <c r="AA95" s="98">
        <f t="shared" si="25"/>
        <v>7789.888462445131</v>
      </c>
      <c r="AB95" s="98">
        <f t="shared" si="26"/>
        <v>158185.4081034344</v>
      </c>
      <c r="AC95" s="91"/>
      <c r="AD95" s="92">
        <f t="shared" si="27"/>
        <v>7789.544010639048</v>
      </c>
    </row>
    <row r="96" spans="1:30" ht="11.25">
      <c r="A96" s="15"/>
      <c r="B96" s="93">
        <f>IF(C96&gt;$K$1,0,'Ranges and Data'!$A$10)</f>
        <v>535.2234266961229</v>
      </c>
      <c r="C96" s="94">
        <f t="shared" si="28"/>
        <v>33723.24999999999</v>
      </c>
      <c r="D96" s="85">
        <f t="shared" si="20"/>
        <v>22.75000000000002</v>
      </c>
      <c r="E96" s="15"/>
      <c r="F96" s="21"/>
      <c r="G96" s="21"/>
      <c r="H96" s="21"/>
      <c r="I96" s="21"/>
      <c r="J96" s="21"/>
      <c r="K96" s="21"/>
      <c r="L96" s="21"/>
      <c r="M96" s="15"/>
      <c r="N96" s="42"/>
      <c r="O96" s="86">
        <f t="shared" si="30"/>
        <v>7.587570037164185E-05</v>
      </c>
      <c r="P96" s="86">
        <f t="shared" si="30"/>
        <v>0.1601457893964535</v>
      </c>
      <c r="Q96" s="86">
        <f t="shared" si="30"/>
        <v>48.702606416102945</v>
      </c>
      <c r="R96" s="86">
        <f t="shared" si="30"/>
        <v>4679.707421847528</v>
      </c>
      <c r="S96" s="86">
        <f t="shared" si="30"/>
        <v>209288.98857947052</v>
      </c>
      <c r="T96" s="86">
        <f t="shared" si="30"/>
        <v>5427642.7909145</v>
      </c>
      <c r="U96" s="87">
        <f t="shared" si="30"/>
        <v>93594014.46449791</v>
      </c>
      <c r="V96" s="15"/>
      <c r="W96" s="96">
        <f t="shared" si="21"/>
        <v>8806.622414156049</v>
      </c>
      <c r="X96" s="97">
        <f t="shared" si="22"/>
        <v>177144.70373302413</v>
      </c>
      <c r="Y96" s="98">
        <f t="shared" si="23"/>
        <v>7784.006516023228</v>
      </c>
      <c r="Z96" s="97">
        <f t="shared" si="24"/>
        <v>157426.66770854525</v>
      </c>
      <c r="AA96" s="98">
        <f t="shared" si="25"/>
        <v>7714.125995806741</v>
      </c>
      <c r="AB96" s="98">
        <f t="shared" si="26"/>
        <v>156075.23305428497</v>
      </c>
      <c r="AC96" s="91"/>
      <c r="AD96" s="92">
        <f t="shared" si="27"/>
        <v>7713.786138920491</v>
      </c>
    </row>
    <row r="97" spans="1:30" ht="11.25">
      <c r="A97" s="15"/>
      <c r="B97" s="93">
        <f>IF(C97&gt;$K$1,0,'Ranges and Data'!$A$10)</f>
        <v>535.2234266961229</v>
      </c>
      <c r="C97" s="94">
        <f t="shared" si="28"/>
        <v>33753.66666666666</v>
      </c>
      <c r="D97" s="85">
        <f t="shared" si="20"/>
        <v>22.666666666666693</v>
      </c>
      <c r="E97" s="15"/>
      <c r="F97" s="21"/>
      <c r="G97" s="21"/>
      <c r="H97" s="21"/>
      <c r="I97" s="21"/>
      <c r="J97" s="21"/>
      <c r="K97" s="21"/>
      <c r="L97" s="21"/>
      <c r="M97" s="15"/>
      <c r="N97" s="42"/>
      <c r="O97" s="86">
        <f t="shared" si="30"/>
        <v>8.038750430241813E-05</v>
      </c>
      <c r="P97" s="86">
        <f t="shared" si="30"/>
        <v>0.1649772352302658</v>
      </c>
      <c r="Q97" s="86">
        <f t="shared" si="30"/>
        <v>49.13210012074568</v>
      </c>
      <c r="R97" s="86">
        <f t="shared" si="30"/>
        <v>4642.685991781757</v>
      </c>
      <c r="S97" s="86">
        <f t="shared" si="30"/>
        <v>204762.8189642657</v>
      </c>
      <c r="T97" s="86">
        <f t="shared" si="30"/>
        <v>5247313.189620801</v>
      </c>
      <c r="U97" s="87">
        <f t="shared" si="30"/>
        <v>89545548.04119757</v>
      </c>
      <c r="V97" s="15"/>
      <c r="W97" s="96">
        <f t="shared" si="21"/>
        <v>8716.74134489383</v>
      </c>
      <c r="X97" s="97">
        <f t="shared" si="22"/>
        <v>174694.49202852373</v>
      </c>
      <c r="Y97" s="98">
        <f t="shared" si="23"/>
        <v>7708.046632150743</v>
      </c>
      <c r="Z97" s="97">
        <f t="shared" si="24"/>
        <v>155319.39931973352</v>
      </c>
      <c r="AA97" s="98">
        <f t="shared" si="25"/>
        <v>7639.100375578772</v>
      </c>
      <c r="AB97" s="98">
        <f t="shared" si="26"/>
        <v>153991.14127761908</v>
      </c>
      <c r="AC97" s="91"/>
      <c r="AD97" s="92">
        <f t="shared" si="27"/>
        <v>7638.765056816251</v>
      </c>
    </row>
    <row r="98" spans="1:30" ht="11.25">
      <c r="A98" s="15"/>
      <c r="B98" s="93">
        <f>IF(C98&gt;$K$1,0,'Ranges and Data'!$A$10)</f>
        <v>535.2234266961229</v>
      </c>
      <c r="C98" s="94">
        <f t="shared" si="28"/>
        <v>33784.08333333332</v>
      </c>
      <c r="D98" s="85">
        <f t="shared" si="20"/>
        <v>22.583333333333368</v>
      </c>
      <c r="E98" s="15"/>
      <c r="F98" s="21"/>
      <c r="G98" s="21"/>
      <c r="H98" s="21"/>
      <c r="I98" s="21"/>
      <c r="J98" s="21"/>
      <c r="K98" s="21"/>
      <c r="L98" s="21"/>
      <c r="M98" s="15"/>
      <c r="N98" s="42"/>
      <c r="O98" s="86">
        <f t="shared" si="30"/>
        <v>8.516759405606063E-05</v>
      </c>
      <c r="P98" s="86">
        <f t="shared" si="30"/>
        <v>0.16995444118011385</v>
      </c>
      <c r="Q98" s="86">
        <f t="shared" si="30"/>
        <v>49.565381401781174</v>
      </c>
      <c r="R98" s="86">
        <f t="shared" si="30"/>
        <v>4605.957440342913</v>
      </c>
      <c r="S98" s="86">
        <f t="shared" si="30"/>
        <v>200334.5341519102</v>
      </c>
      <c r="T98" s="86">
        <f t="shared" si="30"/>
        <v>5072974.912066604</v>
      </c>
      <c r="U98" s="87">
        <f t="shared" si="30"/>
        <v>85672200.51277934</v>
      </c>
      <c r="V98" s="15"/>
      <c r="W98" s="96">
        <f t="shared" si="21"/>
        <v>8627.777608773853</v>
      </c>
      <c r="X98" s="97">
        <f t="shared" si="22"/>
        <v>172275.84232078676</v>
      </c>
      <c r="Y98" s="98">
        <f t="shared" si="23"/>
        <v>7632.8279994509085</v>
      </c>
      <c r="Z98" s="97">
        <f t="shared" si="24"/>
        <v>153238.26696019422</v>
      </c>
      <c r="AA98" s="98">
        <f t="shared" si="25"/>
        <v>7564.804435381134</v>
      </c>
      <c r="AB98" s="98">
        <f t="shared" si="26"/>
        <v>151932.82501662825</v>
      </c>
      <c r="AC98" s="91"/>
      <c r="AD98" s="92">
        <f t="shared" si="27"/>
        <v>7564.473598616375</v>
      </c>
    </row>
    <row r="99" spans="1:30" ht="11.25">
      <c r="A99" s="15"/>
      <c r="B99" s="93">
        <f>IF(C99&gt;$K$1,0,'Ranges and Data'!$A$10)</f>
        <v>535.2234266961229</v>
      </c>
      <c r="C99" s="94">
        <f t="shared" si="28"/>
        <v>33814.499999999985</v>
      </c>
      <c r="D99" s="85">
        <f t="shared" si="20"/>
        <v>22.50000000000004</v>
      </c>
      <c r="E99" s="15"/>
      <c r="F99" s="21"/>
      <c r="G99" s="21"/>
      <c r="H99" s="21"/>
      <c r="I99" s="21"/>
      <c r="J99" s="21"/>
      <c r="K99" s="21"/>
      <c r="L99" s="21"/>
      <c r="M99" s="15"/>
      <c r="N99" s="42"/>
      <c r="O99" s="86">
        <f aca="true" t="shared" si="31" ref="O99:U108">$B99*O$7^$D99</f>
        <v>9.023192273777002E-05</v>
      </c>
      <c r="P99" s="86">
        <f t="shared" si="31"/>
        <v>0.17508180468977722</v>
      </c>
      <c r="Q99" s="86">
        <f t="shared" si="31"/>
        <v>50.00248366071166</v>
      </c>
      <c r="R99" s="86">
        <f t="shared" si="31"/>
        <v>4569.519450551609</v>
      </c>
      <c r="S99" s="86">
        <f t="shared" si="31"/>
        <v>196002.0172454592</v>
      </c>
      <c r="T99" s="86">
        <f t="shared" si="31"/>
        <v>4904428.900748905</v>
      </c>
      <c r="U99" s="87">
        <f t="shared" si="31"/>
        <v>81966397.0041822</v>
      </c>
      <c r="V99" s="15"/>
      <c r="W99" s="96">
        <f t="shared" si="21"/>
        <v>8539.72184342314</v>
      </c>
      <c r="X99" s="97">
        <f t="shared" si="22"/>
        <v>169888.3655853413</v>
      </c>
      <c r="Y99" s="98">
        <f t="shared" si="23"/>
        <v>7558.343384456887</v>
      </c>
      <c r="Z99" s="97">
        <f t="shared" si="24"/>
        <v>151182.9612051692</v>
      </c>
      <c r="AA99" s="98">
        <f t="shared" si="25"/>
        <v>7491.231078532115</v>
      </c>
      <c r="AB99" s="98">
        <f t="shared" si="26"/>
        <v>149899.98003361243</v>
      </c>
      <c r="AC99" s="91"/>
      <c r="AD99" s="92">
        <f t="shared" si="27"/>
        <v>7490.904668301621</v>
      </c>
    </row>
    <row r="100" spans="1:30" ht="11.25">
      <c r="A100" s="15"/>
      <c r="B100" s="93">
        <f>IF(C100&gt;$K$1,0,'Ranges and Data'!$A$10)</f>
        <v>535.2234266961229</v>
      </c>
      <c r="C100" s="94">
        <f t="shared" si="28"/>
        <v>33844.91666666665</v>
      </c>
      <c r="D100" s="85">
        <f t="shared" si="20"/>
        <v>22.416666666666714</v>
      </c>
      <c r="E100" s="15"/>
      <c r="F100" s="21"/>
      <c r="G100" s="21"/>
      <c r="H100" s="21"/>
      <c r="I100" s="21"/>
      <c r="J100" s="21"/>
      <c r="K100" s="21"/>
      <c r="L100" s="21"/>
      <c r="M100" s="15"/>
      <c r="N100" s="42"/>
      <c r="O100" s="86">
        <f t="shared" si="31"/>
        <v>9.559739207374601E-05</v>
      </c>
      <c r="P100" s="86">
        <f t="shared" si="31"/>
        <v>0.18036385586972226</v>
      </c>
      <c r="Q100" s="86">
        <f t="shared" si="31"/>
        <v>50.44344059359721</v>
      </c>
      <c r="R100" s="86">
        <f t="shared" si="31"/>
        <v>4533.369723758225</v>
      </c>
      <c r="S100" s="86">
        <f t="shared" si="31"/>
        <v>191763.1971288511</v>
      </c>
      <c r="T100" s="86">
        <f t="shared" si="31"/>
        <v>4741482.71170976</v>
      </c>
      <c r="U100" s="87">
        <f t="shared" si="31"/>
        <v>78420890.29620573</v>
      </c>
      <c r="V100" s="15"/>
      <c r="W100" s="96">
        <f t="shared" si="21"/>
        <v>8452.564782021826</v>
      </c>
      <c r="X100" s="97">
        <f t="shared" si="22"/>
        <v>167531.67745091923</v>
      </c>
      <c r="Y100" s="98">
        <f t="shared" si="23"/>
        <v>7484.585624289311</v>
      </c>
      <c r="Z100" s="97">
        <f t="shared" si="24"/>
        <v>149153.17618004867</v>
      </c>
      <c r="AA100" s="98">
        <f t="shared" si="25"/>
        <v>7418.37327737053</v>
      </c>
      <c r="AB100" s="98">
        <f t="shared" si="26"/>
        <v>147892.30557063947</v>
      </c>
      <c r="AC100" s="91"/>
      <c r="AD100" s="92">
        <f t="shared" si="27"/>
        <v>7418.051238865694</v>
      </c>
    </row>
    <row r="101" spans="1:30" ht="11.25">
      <c r="A101" s="15"/>
      <c r="B101" s="93">
        <f>IF(C101&gt;$K$1,0,'Ranges and Data'!$A$10)</f>
        <v>535.2234266961229</v>
      </c>
      <c r="C101" s="94">
        <f t="shared" si="28"/>
        <v>33875.333333333314</v>
      </c>
      <c r="D101" s="85">
        <f t="shared" si="20"/>
        <v>22.333333333333385</v>
      </c>
      <c r="E101" s="15"/>
      <c r="F101" s="21"/>
      <c r="G101" s="21"/>
      <c r="H101" s="21"/>
      <c r="I101" s="21"/>
      <c r="J101" s="21"/>
      <c r="K101" s="21"/>
      <c r="L101" s="21"/>
      <c r="M101" s="15"/>
      <c r="N101" s="42"/>
      <c r="O101" s="86">
        <f t="shared" si="31"/>
        <v>0.00010128190881912938</v>
      </c>
      <c r="P101" s="86">
        <f t="shared" si="31"/>
        <v>0.18580526149953155</v>
      </c>
      <c r="Q101" s="86">
        <f t="shared" si="31"/>
        <v>50.88828619365335</v>
      </c>
      <c r="R101" s="86">
        <f t="shared" si="31"/>
        <v>4497.505979497876</v>
      </c>
      <c r="S101" s="86">
        <f t="shared" si="31"/>
        <v>187616.04747683028</v>
      </c>
      <c r="T101" s="86">
        <f t="shared" si="31"/>
        <v>4583950.294805897</v>
      </c>
      <c r="U101" s="87">
        <f t="shared" si="31"/>
        <v>75028746.65255491</v>
      </c>
      <c r="V101" s="15"/>
      <c r="W101" s="96">
        <f t="shared" si="21"/>
        <v>8366.297252327913</v>
      </c>
      <c r="X101" s="97">
        <f t="shared" si="22"/>
        <v>165205.39814499603</v>
      </c>
      <c r="Y101" s="98">
        <f t="shared" si="23"/>
        <v>7411.547625967447</v>
      </c>
      <c r="Z101" s="97">
        <f t="shared" si="24"/>
        <v>147148.60952054814</v>
      </c>
      <c r="AA101" s="98">
        <f t="shared" si="25"/>
        <v>7346.224072584419</v>
      </c>
      <c r="AB101" s="98">
        <f t="shared" si="26"/>
        <v>145909.50431063562</v>
      </c>
      <c r="AC101" s="91"/>
      <c r="AD101" s="92">
        <f t="shared" si="27"/>
        <v>7345.9063516440365</v>
      </c>
    </row>
    <row r="102" spans="1:30" ht="11.25">
      <c r="A102" s="15"/>
      <c r="B102" s="93">
        <f>IF(C102&gt;$K$1,0,'Ranges and Data'!$A$10)</f>
        <v>535.2234266961229</v>
      </c>
      <c r="C102" s="94">
        <f t="shared" si="28"/>
        <v>33905.74999999998</v>
      </c>
      <c r="D102" s="85">
        <f t="shared" si="20"/>
        <v>22.25000000000006</v>
      </c>
      <c r="E102" s="15"/>
      <c r="F102" s="21"/>
      <c r="G102" s="21"/>
      <c r="H102" s="21"/>
      <c r="I102" s="21"/>
      <c r="J102" s="21"/>
      <c r="K102" s="21"/>
      <c r="L102" s="21"/>
      <c r="M102" s="15"/>
      <c r="N102" s="42"/>
      <c r="O102" s="86">
        <f t="shared" si="31"/>
        <v>0.00010730444452013025</v>
      </c>
      <c r="P102" s="86">
        <f t="shared" si="31"/>
        <v>0.191410829151079</v>
      </c>
      <c r="Q102" s="86">
        <f t="shared" si="31"/>
        <v>51.33705475387163</v>
      </c>
      <c r="R102" s="86">
        <f t="shared" si="31"/>
        <v>4461.925955346575</v>
      </c>
      <c r="S102" s="86">
        <f t="shared" si="31"/>
        <v>183558.58578628383</v>
      </c>
      <c r="T102" s="86">
        <f t="shared" si="31"/>
        <v>4431651.7812787825</v>
      </c>
      <c r="U102" s="87">
        <f t="shared" si="31"/>
        <v>71783332.25994575</v>
      </c>
      <c r="V102" s="15"/>
      <c r="W102" s="96">
        <f t="shared" si="21"/>
        <v>8280.910175712019</v>
      </c>
      <c r="X102" s="97">
        <f t="shared" si="22"/>
        <v>162909.1524399584</v>
      </c>
      <c r="Y102" s="98">
        <f t="shared" si="23"/>
        <v>7339.222365727107</v>
      </c>
      <c r="Z102" s="97">
        <f t="shared" si="24"/>
        <v>145168.9623333263</v>
      </c>
      <c r="AA102" s="98">
        <f t="shared" si="25"/>
        <v>7274.776572546322</v>
      </c>
      <c r="AB102" s="98">
        <f t="shared" si="26"/>
        <v>143951.282338905</v>
      </c>
      <c r="AC102" s="91"/>
      <c r="AD102" s="92">
        <f t="shared" si="27"/>
        <v>7274.463115649183</v>
      </c>
    </row>
    <row r="103" spans="1:30" ht="11.25">
      <c r="A103" s="15"/>
      <c r="B103" s="93">
        <f>IF(C103&gt;$K$1,0,'Ranges and Data'!$A$10)</f>
        <v>535.2234266961229</v>
      </c>
      <c r="C103" s="94">
        <f t="shared" si="28"/>
        <v>33936.16666666664</v>
      </c>
      <c r="D103" s="85">
        <f t="shared" si="20"/>
        <v>22.166666666666732</v>
      </c>
      <c r="E103" s="15"/>
      <c r="F103" s="21"/>
      <c r="G103" s="21"/>
      <c r="H103" s="21"/>
      <c r="I103" s="21"/>
      <c r="J103" s="21"/>
      <c r="K103" s="21"/>
      <c r="L103" s="21"/>
      <c r="M103" s="15"/>
      <c r="N103" s="42"/>
      <c r="O103" s="86">
        <f t="shared" si="31"/>
        <v>0.00011368509882980212</v>
      </c>
      <c r="P103" s="86">
        <f t="shared" si="31"/>
        <v>0.1971855114361012</v>
      </c>
      <c r="Q103" s="86">
        <f t="shared" si="31"/>
        <v>51.78978086966318</v>
      </c>
      <c r="R103" s="86">
        <f t="shared" si="31"/>
        <v>4426.627406778491</v>
      </c>
      <c r="S103" s="86">
        <f t="shared" si="31"/>
        <v>179588.87242852457</v>
      </c>
      <c r="T103" s="86">
        <f t="shared" si="31"/>
        <v>4284413.278382415</v>
      </c>
      <c r="U103" s="87">
        <f t="shared" si="31"/>
        <v>68678300.25475018</v>
      </c>
      <c r="V103" s="15"/>
      <c r="W103" s="96">
        <f t="shared" si="21"/>
        <v>8196.39456620195</v>
      </c>
      <c r="X103" s="97">
        <f t="shared" si="22"/>
        <v>160642.56959989134</v>
      </c>
      <c r="Y103" s="98">
        <f t="shared" si="23"/>
        <v>7267.602888345195</v>
      </c>
      <c r="Z103" s="97">
        <f t="shared" si="24"/>
        <v>143213.93915703552</v>
      </c>
      <c r="AA103" s="98">
        <f t="shared" si="25"/>
        <v>7204.023952654984</v>
      </c>
      <c r="AB103" s="98">
        <f t="shared" si="26"/>
        <v>142017.34910507116</v>
      </c>
      <c r="AC103" s="91"/>
      <c r="AD103" s="92">
        <f t="shared" si="27"/>
        <v>7203.714706912542</v>
      </c>
    </row>
    <row r="104" spans="1:30" ht="11.25">
      <c r="A104" s="15"/>
      <c r="B104" s="93">
        <f>IF(C104&gt;$K$1,0,'Ranges and Data'!$A$10)</f>
        <v>535.2234266961229</v>
      </c>
      <c r="C104" s="94">
        <f t="shared" si="28"/>
        <v>33966.58333333331</v>
      </c>
      <c r="D104" s="85">
        <f t="shared" si="20"/>
        <v>22.083333333333407</v>
      </c>
      <c r="E104" s="15"/>
      <c r="F104" s="21"/>
      <c r="G104" s="21"/>
      <c r="H104" s="21"/>
      <c r="I104" s="21"/>
      <c r="J104" s="21"/>
      <c r="K104" s="21"/>
      <c r="L104" s="21"/>
      <c r="M104" s="15"/>
      <c r="N104" s="42"/>
      <c r="O104" s="86">
        <f t="shared" si="31"/>
        <v>0.00012044516658876384</v>
      </c>
      <c r="P104" s="86">
        <f t="shared" si="31"/>
        <v>0.2031344103819087</v>
      </c>
      <c r="Q104" s="86">
        <f t="shared" si="31"/>
        <v>52.24649944152574</v>
      </c>
      <c r="R104" s="86">
        <f t="shared" si="31"/>
        <v>4391.608107024371</v>
      </c>
      <c r="S104" s="86">
        <f t="shared" si="31"/>
        <v>175705.00972207263</v>
      </c>
      <c r="T104" s="86">
        <f t="shared" si="31"/>
        <v>4142066.670834582</v>
      </c>
      <c r="U104" s="87">
        <f t="shared" si="31"/>
        <v>65707578.31081484</v>
      </c>
      <c r="V104" s="15"/>
      <c r="W104" s="96">
        <f t="shared" si="21"/>
        <v>8112.741529537058</v>
      </c>
      <c r="X104" s="97">
        <f t="shared" si="22"/>
        <v>158405.28332797877</v>
      </c>
      <c r="Y104" s="98">
        <f t="shared" si="23"/>
        <v>7196.682306470857</v>
      </c>
      <c r="Z104" s="97">
        <f t="shared" si="24"/>
        <v>141283.24792380354</v>
      </c>
      <c r="AA104" s="98">
        <f t="shared" si="25"/>
        <v>7133.959454683489</v>
      </c>
      <c r="AB104" s="98">
        <f t="shared" si="26"/>
        <v>140107.41738543793</v>
      </c>
      <c r="AC104" s="91"/>
      <c r="AD104" s="92">
        <f t="shared" si="27"/>
        <v>7133.654367832618</v>
      </c>
    </row>
    <row r="105" spans="1:30" ht="11.25">
      <c r="A105" s="15"/>
      <c r="B105" s="93">
        <f>IF(C105&gt;$K$1,0,'Ranges and Data'!$A$10)</f>
        <v>535.2234266961229</v>
      </c>
      <c r="C105" s="94">
        <f t="shared" si="28"/>
        <v>33996.99999999997</v>
      </c>
      <c r="D105" s="85">
        <f t="shared" si="20"/>
        <v>22.000000000000078</v>
      </c>
      <c r="E105" s="15"/>
      <c r="F105" s="21"/>
      <c r="G105" s="21"/>
      <c r="H105" s="21"/>
      <c r="I105" s="21"/>
      <c r="J105" s="21"/>
      <c r="K105" s="21"/>
      <c r="L105" s="21"/>
      <c r="M105" s="15"/>
      <c r="N105" s="42"/>
      <c r="O105" s="86">
        <f t="shared" si="31"/>
        <v>0.00012760720889475212</v>
      </c>
      <c r="P105" s="86">
        <f t="shared" si="31"/>
        <v>0.2092627819391155</v>
      </c>
      <c r="Q105" s="86">
        <f t="shared" si="31"/>
        <v>52.70724567773407</v>
      </c>
      <c r="R105" s="86">
        <f t="shared" si="31"/>
        <v>4356.865846931049</v>
      </c>
      <c r="S105" s="86">
        <f t="shared" si="31"/>
        <v>171905.14102548643</v>
      </c>
      <c r="T105" s="86">
        <f t="shared" si="31"/>
        <v>4004449.4288646714</v>
      </c>
      <c r="U105" s="87">
        <f t="shared" si="31"/>
        <v>62865356.76417303</v>
      </c>
      <c r="V105" s="15"/>
      <c r="W105" s="96">
        <f t="shared" si="21"/>
        <v>8029.942262232185</v>
      </c>
      <c r="X105" s="97">
        <f t="shared" si="22"/>
        <v>156196.93171450813</v>
      </c>
      <c r="Y105" s="98">
        <f t="shared" si="23"/>
        <v>7126.45379996313</v>
      </c>
      <c r="Z105" s="97">
        <f t="shared" si="24"/>
        <v>139376.5999211384</v>
      </c>
      <c r="AA105" s="98">
        <f t="shared" si="25"/>
        <v>7064.576386133691</v>
      </c>
      <c r="AB105" s="98">
        <f t="shared" si="26"/>
        <v>138221.20324576297</v>
      </c>
      <c r="AC105" s="91"/>
      <c r="AD105" s="92">
        <f t="shared" si="27"/>
        <v>7064.275406529532</v>
      </c>
    </row>
    <row r="106" spans="1:30" ht="11.25">
      <c r="A106" s="15"/>
      <c r="B106" s="93">
        <f>IF(C106&gt;$K$1,0,'Ranges and Data'!$A$10)</f>
        <v>535.2234266961229</v>
      </c>
      <c r="C106" s="94">
        <f t="shared" si="28"/>
        <v>34027.416666666635</v>
      </c>
      <c r="D106" s="85">
        <f t="shared" si="20"/>
        <v>21.916666666666753</v>
      </c>
      <c r="E106" s="15"/>
      <c r="F106" s="21"/>
      <c r="G106" s="21"/>
      <c r="H106" s="21"/>
      <c r="I106" s="21"/>
      <c r="J106" s="21"/>
      <c r="K106" s="21"/>
      <c r="L106" s="21"/>
      <c r="M106" s="15"/>
      <c r="N106" s="42"/>
      <c r="O106" s="86">
        <f t="shared" si="31"/>
        <v>0.00013519512839818635</v>
      </c>
      <c r="P106" s="86">
        <f t="shared" si="31"/>
        <v>0.215576040625354</v>
      </c>
      <c r="Q106" s="86">
        <f t="shared" si="31"/>
        <v>53.172055097054184</v>
      </c>
      <c r="R106" s="86">
        <f t="shared" si="31"/>
        <v>4322.398434822107</v>
      </c>
      <c r="S106" s="86">
        <f t="shared" si="31"/>
        <v>168187.44984981534</v>
      </c>
      <c r="T106" s="86">
        <f t="shared" si="31"/>
        <v>3871404.4226390054</v>
      </c>
      <c r="U106" s="87">
        <f t="shared" si="31"/>
        <v>60146077.25143152</v>
      </c>
      <c r="V106" s="15"/>
      <c r="W106" s="96">
        <f t="shared" si="21"/>
        <v>7947.988050651233</v>
      </c>
      <c r="X106" s="97">
        <f t="shared" si="22"/>
        <v>154017.15718547616</v>
      </c>
      <c r="Y106" s="98">
        <f t="shared" si="23"/>
        <v>7056.910615235124</v>
      </c>
      <c r="Z106" s="97">
        <f t="shared" si="24"/>
        <v>137493.7097542558</v>
      </c>
      <c r="AA106" s="98">
        <f t="shared" si="25"/>
        <v>6995.868119596995</v>
      </c>
      <c r="AB106" s="98">
        <f t="shared" si="26"/>
        <v>136358.42600444247</v>
      </c>
      <c r="AC106" s="91"/>
      <c r="AD106" s="92">
        <f t="shared" si="27"/>
        <v>6995.571196205863</v>
      </c>
    </row>
    <row r="107" spans="1:30" ht="11.25">
      <c r="A107" s="15"/>
      <c r="B107" s="93">
        <f>IF(C107&gt;$K$1,0,'Ranges and Data'!$A$10)</f>
        <v>535.2234266961229</v>
      </c>
      <c r="C107" s="94">
        <f t="shared" si="28"/>
        <v>34057.8333333333</v>
      </c>
      <c r="D107" s="85">
        <f t="shared" si="20"/>
        <v>21.833333333333428</v>
      </c>
      <c r="E107" s="15"/>
      <c r="F107" s="21"/>
      <c r="G107" s="21"/>
      <c r="H107" s="21"/>
      <c r="I107" s="21"/>
      <c r="J107" s="21"/>
      <c r="K107" s="21"/>
      <c r="L107" s="21"/>
      <c r="M107" s="15"/>
      <c r="N107" s="42"/>
      <c r="O107" s="86">
        <f t="shared" si="31"/>
        <v>0.00014323424907504374</v>
      </c>
      <c r="P107" s="86">
        <f t="shared" si="31"/>
        <v>0.222079764309095</v>
      </c>
      <c r="Q107" s="86">
        <f t="shared" si="31"/>
        <v>53.640963531481404</v>
      </c>
      <c r="R107" s="86">
        <f t="shared" si="31"/>
        <v>4288.203696359596</v>
      </c>
      <c r="S107" s="86">
        <f t="shared" si="31"/>
        <v>164550.15899024424</v>
      </c>
      <c r="T107" s="86">
        <f t="shared" si="31"/>
        <v>3742779.7428517183</v>
      </c>
      <c r="U107" s="87">
        <f t="shared" si="31"/>
        <v>57544421.83961025</v>
      </c>
      <c r="V107" s="15"/>
      <c r="W107" s="96">
        <f t="shared" si="21"/>
        <v>7866.870270090145</v>
      </c>
      <c r="X107" s="97">
        <f t="shared" si="22"/>
        <v>151865.60645178508</v>
      </c>
      <c r="Y107" s="98">
        <f t="shared" si="23"/>
        <v>6988.046064604507</v>
      </c>
      <c r="Z107" s="97">
        <f t="shared" si="24"/>
        <v>135634.29530882006</v>
      </c>
      <c r="AA107" s="98">
        <f t="shared" si="25"/>
        <v>6927.828092121277</v>
      </c>
      <c r="AB107" s="98">
        <f t="shared" si="26"/>
        <v>134518.808196099</v>
      </c>
      <c r="AC107" s="91"/>
      <c r="AD107" s="92">
        <f t="shared" si="27"/>
        <v>6927.535174513662</v>
      </c>
    </row>
    <row r="108" spans="1:30" ht="11.25">
      <c r="A108" s="15"/>
      <c r="B108" s="93">
        <f>IF(C108&gt;$K$1,0,'Ranges and Data'!$A$10)</f>
        <v>535.2234266961229</v>
      </c>
      <c r="C108" s="94">
        <f t="shared" si="28"/>
        <v>34088.24999999996</v>
      </c>
      <c r="D108" s="85">
        <f t="shared" si="20"/>
        <v>21.7500000000001</v>
      </c>
      <c r="E108" s="15"/>
      <c r="F108" s="21"/>
      <c r="G108" s="21"/>
      <c r="H108" s="21"/>
      <c r="I108" s="21"/>
      <c r="J108" s="21"/>
      <c r="K108" s="21"/>
      <c r="L108" s="21"/>
      <c r="M108" s="15"/>
      <c r="N108" s="42"/>
      <c r="O108" s="86">
        <f t="shared" si="31"/>
        <v>0.00015175140074327536</v>
      </c>
      <c r="P108" s="86">
        <f t="shared" si="31"/>
        <v>0.22877969913778423</v>
      </c>
      <c r="Q108" s="86">
        <f t="shared" si="31"/>
        <v>54.114007129002815</v>
      </c>
      <c r="R108" s="86">
        <f t="shared" si="31"/>
        <v>4254.279474406874</v>
      </c>
      <c r="S108" s="86">
        <f t="shared" si="31"/>
        <v>160991.52967651904</v>
      </c>
      <c r="T108" s="86">
        <f t="shared" si="31"/>
        <v>3618428.5272764456</v>
      </c>
      <c r="U108" s="87">
        <f t="shared" si="31"/>
        <v>55055302.6261775</v>
      </c>
      <c r="V108" s="15"/>
      <c r="W108" s="96">
        <f t="shared" si="21"/>
        <v>7786.580383869259</v>
      </c>
      <c r="X108" s="97">
        <f t="shared" si="22"/>
        <v>149741.9304590249</v>
      </c>
      <c r="Y108" s="98">
        <f t="shared" si="23"/>
        <v>6919.8535256503965</v>
      </c>
      <c r="Z108" s="97">
        <f t="shared" si="24"/>
        <v>133798.07771409763</v>
      </c>
      <c r="AA108" s="98">
        <f t="shared" si="25"/>
        <v>6860.449804584014</v>
      </c>
      <c r="AB108" s="98">
        <f t="shared" si="26"/>
        <v>132702.07553557138</v>
      </c>
      <c r="AC108" s="91"/>
      <c r="AD108" s="92">
        <f t="shared" si="27"/>
        <v>6860.16084292765</v>
      </c>
    </row>
    <row r="109" spans="1:30" ht="11.25">
      <c r="A109" s="15"/>
      <c r="B109" s="93">
        <f>IF(C109&gt;$K$1,0,'Ranges and Data'!$A$10)</f>
        <v>535.2234266961229</v>
      </c>
      <c r="C109" s="94">
        <f t="shared" si="28"/>
        <v>34118.66666666663</v>
      </c>
      <c r="D109" s="85">
        <f t="shared" si="20"/>
        <v>21.666666666666774</v>
      </c>
      <c r="E109" s="15"/>
      <c r="F109" s="21"/>
      <c r="G109" s="21"/>
      <c r="H109" s="21"/>
      <c r="I109" s="21"/>
      <c r="J109" s="21"/>
      <c r="K109" s="21"/>
      <c r="L109" s="21"/>
      <c r="M109" s="15"/>
      <c r="N109" s="42"/>
      <c r="O109" s="86">
        <f aca="true" t="shared" si="32" ref="O109:U118">$B109*O$7^$D109</f>
        <v>0.00016077500860482713</v>
      </c>
      <c r="P109" s="86">
        <f t="shared" si="32"/>
        <v>0.23568176461465876</v>
      </c>
      <c r="Q109" s="86">
        <f t="shared" si="32"/>
        <v>54.591222356383604</v>
      </c>
      <c r="R109" s="86">
        <f t="shared" si="32"/>
        <v>4220.623628892539</v>
      </c>
      <c r="S109" s="86">
        <f t="shared" si="32"/>
        <v>157509.86074174615</v>
      </c>
      <c r="T109" s="86">
        <f t="shared" si="32"/>
        <v>3498208.7930806484</v>
      </c>
      <c r="U109" s="87">
        <f t="shared" si="32"/>
        <v>52673851.788941994</v>
      </c>
      <c r="V109" s="15"/>
      <c r="W109" s="96">
        <f t="shared" si="21"/>
        <v>7707.10994243494</v>
      </c>
      <c r="X109" s="97">
        <f t="shared" si="22"/>
        <v>147645.78433783483</v>
      </c>
      <c r="Y109" s="98">
        <f t="shared" si="23"/>
        <v>6852.326440576536</v>
      </c>
      <c r="Z109" s="97">
        <f t="shared" si="24"/>
        <v>131984.78130651757</v>
      </c>
      <c r="AA109" s="98">
        <f t="shared" si="25"/>
        <v>6793.7268210714865</v>
      </c>
      <c r="AB109" s="98">
        <f t="shared" si="26"/>
        <v>130907.95688229996</v>
      </c>
      <c r="AC109" s="91"/>
      <c r="AD109" s="92">
        <f t="shared" si="27"/>
        <v>6793.441766124522</v>
      </c>
    </row>
    <row r="110" spans="1:30" ht="11.25">
      <c r="A110" s="15"/>
      <c r="B110" s="93">
        <f>IF(C110&gt;$K$1,0,'Ranges and Data'!$A$10)</f>
        <v>535.2234266961229</v>
      </c>
      <c r="C110" s="94">
        <f t="shared" si="28"/>
        <v>34149.08333333329</v>
      </c>
      <c r="D110" s="85">
        <f t="shared" si="20"/>
        <v>21.583333333333446</v>
      </c>
      <c r="E110" s="15"/>
      <c r="F110" s="21"/>
      <c r="G110" s="21"/>
      <c r="H110" s="21"/>
      <c r="I110" s="21"/>
      <c r="J110" s="21"/>
      <c r="K110" s="21"/>
      <c r="L110" s="21"/>
      <c r="M110" s="15"/>
      <c r="N110" s="42"/>
      <c r="O110" s="86">
        <f t="shared" si="32"/>
        <v>0.0001703351881121119</v>
      </c>
      <c r="P110" s="86">
        <f t="shared" si="32"/>
        <v>0.24279205882872743</v>
      </c>
      <c r="Q110" s="86">
        <f t="shared" si="32"/>
        <v>55.07264600197862</v>
      </c>
      <c r="R110" s="86">
        <f t="shared" si="32"/>
        <v>4187.234036675406</v>
      </c>
      <c r="S110" s="86">
        <f t="shared" si="32"/>
        <v>154103.48780916483</v>
      </c>
      <c r="T110" s="86">
        <f t="shared" si="32"/>
        <v>3381983.27471118</v>
      </c>
      <c r="U110" s="87">
        <f t="shared" si="32"/>
        <v>50395412.06634295</v>
      </c>
      <c r="V110" s="15"/>
      <c r="W110" s="96">
        <f t="shared" si="21"/>
        <v>7628.450582470324</v>
      </c>
      <c r="X110" s="97">
        <f t="shared" si="22"/>
        <v>145576.82735483526</v>
      </c>
      <c r="Y110" s="98">
        <f t="shared" si="23"/>
        <v>6785.4583155806085</v>
      </c>
      <c r="Z110" s="97">
        <f t="shared" si="24"/>
        <v>130194.13359363284</v>
      </c>
      <c r="AA110" s="98">
        <f t="shared" si="25"/>
        <v>6727.652768264032</v>
      </c>
      <c r="AB110" s="98">
        <f t="shared" si="26"/>
        <v>129136.18420510415</v>
      </c>
      <c r="AC110" s="91"/>
      <c r="AD110" s="92">
        <f t="shared" si="27"/>
        <v>6727.371571368238</v>
      </c>
    </row>
    <row r="111" spans="1:30" ht="11.25">
      <c r="A111" s="15"/>
      <c r="B111" s="93">
        <f>IF(C111&gt;$K$1,0,'Ranges and Data'!$A$10)</f>
        <v>535.2234266961229</v>
      </c>
      <c r="C111" s="94">
        <f t="shared" si="28"/>
        <v>34179.499999999956</v>
      </c>
      <c r="D111" s="85">
        <f t="shared" si="20"/>
        <v>21.50000000000012</v>
      </c>
      <c r="E111" s="15"/>
      <c r="F111" s="21"/>
      <c r="G111" s="21"/>
      <c r="H111" s="21"/>
      <c r="I111" s="21"/>
      <c r="J111" s="21"/>
      <c r="K111" s="21"/>
      <c r="L111" s="21"/>
      <c r="M111" s="15"/>
      <c r="N111" s="42"/>
      <c r="O111" s="86">
        <f t="shared" si="32"/>
        <v>0.0001804638454755298</v>
      </c>
      <c r="P111" s="86">
        <f t="shared" si="32"/>
        <v>0.25011686384253157</v>
      </c>
      <c r="Q111" s="86">
        <f t="shared" si="32"/>
        <v>55.558315178568044</v>
      </c>
      <c r="R111" s="86">
        <f t="shared" si="32"/>
        <v>4154.108591410585</v>
      </c>
      <c r="S111" s="86">
        <f t="shared" si="32"/>
        <v>150770.78249651025</v>
      </c>
      <c r="T111" s="86">
        <f t="shared" si="32"/>
        <v>3269619.2671660483</v>
      </c>
      <c r="U111" s="87">
        <f t="shared" si="32"/>
        <v>48215527.64952101</v>
      </c>
      <c r="V111" s="15"/>
      <c r="W111" s="96">
        <f t="shared" si="21"/>
        <v>7550.594026015231</v>
      </c>
      <c r="X111" s="97">
        <f t="shared" si="22"/>
        <v>143534.72286412766</v>
      </c>
      <c r="Y111" s="98">
        <f t="shared" si="23"/>
        <v>6719.242720229794</v>
      </c>
      <c r="Z111" s="97">
        <f t="shared" si="24"/>
        <v>128425.86521848125</v>
      </c>
      <c r="AA111" s="98">
        <f t="shared" si="25"/>
        <v>6662.22133482727</v>
      </c>
      <c r="AB111" s="98">
        <f t="shared" si="26"/>
        <v>127386.49254734772</v>
      </c>
      <c r="AC111" s="91"/>
      <c r="AD111" s="92">
        <f t="shared" si="27"/>
        <v>6661.943947901357</v>
      </c>
    </row>
    <row r="112" spans="1:30" ht="11.25">
      <c r="A112" s="15"/>
      <c r="B112" s="93">
        <f>IF(C112&gt;$K$1,0,'Ranges and Data'!$A$10)</f>
        <v>535.2234266961229</v>
      </c>
      <c r="C112" s="94">
        <f t="shared" si="28"/>
        <v>34209.91666666662</v>
      </c>
      <c r="D112" s="85">
        <f t="shared" si="20"/>
        <v>21.416666666666792</v>
      </c>
      <c r="E112" s="15"/>
      <c r="F112" s="21"/>
      <c r="G112" s="21"/>
      <c r="H112" s="21"/>
      <c r="I112" s="21"/>
      <c r="J112" s="21"/>
      <c r="K112" s="21"/>
      <c r="L112" s="21"/>
      <c r="M112" s="15"/>
      <c r="N112" s="42"/>
      <c r="O112" s="86">
        <f t="shared" si="32"/>
        <v>0.00019119478414748186</v>
      </c>
      <c r="P112" s="86">
        <f t="shared" si="32"/>
        <v>0.257662651242453</v>
      </c>
      <c r="Q112" s="86">
        <f t="shared" si="32"/>
        <v>56.04826732621865</v>
      </c>
      <c r="R112" s="86">
        <f t="shared" si="32"/>
        <v>4121.245203416597</v>
      </c>
      <c r="S112" s="86">
        <f t="shared" si="32"/>
        <v>147510.15163758077</v>
      </c>
      <c r="T112" s="86">
        <f t="shared" si="32"/>
        <v>3160988.4744732766</v>
      </c>
      <c r="U112" s="87">
        <f t="shared" si="32"/>
        <v>46129935.468358204</v>
      </c>
      <c r="V112" s="15"/>
      <c r="W112" s="96">
        <f t="shared" si="21"/>
        <v>7473.532079594969</v>
      </c>
      <c r="X112" s="97">
        <f t="shared" si="22"/>
        <v>141519.1382593515</v>
      </c>
      <c r="Y112" s="98">
        <f t="shared" si="23"/>
        <v>6653.673286842366</v>
      </c>
      <c r="Z112" s="97">
        <f t="shared" si="24"/>
        <v>126679.70992433892</v>
      </c>
      <c r="AA112" s="98">
        <f t="shared" si="25"/>
        <v>6597.426270809244</v>
      </c>
      <c r="AB112" s="98">
        <f t="shared" si="26"/>
        <v>125658.61999248716</v>
      </c>
      <c r="AC112" s="91"/>
      <c r="AD112" s="92">
        <f t="shared" si="27"/>
        <v>6597.152646342237</v>
      </c>
    </row>
    <row r="113" spans="1:30" ht="11.25">
      <c r="A113" s="15"/>
      <c r="B113" s="93">
        <f>IF(C113&gt;$K$1,0,'Ranges and Data'!$A$10)</f>
        <v>535.2234266961229</v>
      </c>
      <c r="C113" s="94">
        <f t="shared" si="28"/>
        <v>34240.333333333285</v>
      </c>
      <c r="D113" s="85">
        <f t="shared" si="20"/>
        <v>21.333333333333467</v>
      </c>
      <c r="E113" s="15"/>
      <c r="F113" s="21"/>
      <c r="G113" s="21"/>
      <c r="H113" s="21"/>
      <c r="I113" s="21"/>
      <c r="J113" s="21"/>
      <c r="K113" s="21"/>
      <c r="L113" s="21"/>
      <c r="M113" s="15"/>
      <c r="N113" s="42"/>
      <c r="O113" s="86">
        <f t="shared" si="32"/>
        <v>0.00020256381763824723</v>
      </c>
      <c r="P113" s="86">
        <f t="shared" si="32"/>
        <v>0.2654360878564659</v>
      </c>
      <c r="Q113" s="86">
        <f t="shared" si="32"/>
        <v>56.542540215169915</v>
      </c>
      <c r="R113" s="86">
        <f t="shared" si="32"/>
        <v>4088.641799543555</v>
      </c>
      <c r="S113" s="86">
        <f t="shared" si="32"/>
        <v>144320.03652064173</v>
      </c>
      <c r="T113" s="86">
        <f t="shared" si="32"/>
        <v>3055966.8632040313</v>
      </c>
      <c r="U113" s="87">
        <f t="shared" si="32"/>
        <v>44134556.85444604</v>
      </c>
      <c r="V113" s="15"/>
      <c r="W113" s="96">
        <f t="shared" si="21"/>
        <v>7397.256633358087</v>
      </c>
      <c r="X113" s="97">
        <f t="shared" si="22"/>
        <v>139529.74492629548</v>
      </c>
      <c r="Y113" s="98">
        <f t="shared" si="23"/>
        <v>6588.743709875338</v>
      </c>
      <c r="Z113" s="97">
        <f t="shared" si="24"/>
        <v>124955.40451986347</v>
      </c>
      <c r="AA113" s="98">
        <f t="shared" si="25"/>
        <v>6533.2613870434325</v>
      </c>
      <c r="AB113" s="98">
        <f t="shared" si="26"/>
        <v>123952.30762999985</v>
      </c>
      <c r="AC113" s="91"/>
      <c r="AD113" s="92">
        <f t="shared" si="27"/>
        <v>6532.991478088136</v>
      </c>
    </row>
    <row r="114" spans="1:30" ht="11.25">
      <c r="A114" s="15"/>
      <c r="B114" s="93">
        <f>IF(C114&gt;$K$1,0,'Ranges and Data'!$A$10)</f>
        <v>535.2234266961229</v>
      </c>
      <c r="C114" s="94">
        <f t="shared" si="28"/>
        <v>34270.74999999995</v>
      </c>
      <c r="D114" s="85">
        <f t="shared" si="20"/>
        <v>21.25000000000014</v>
      </c>
      <c r="E114" s="15"/>
      <c r="F114" s="21"/>
      <c r="G114" s="21"/>
      <c r="H114" s="21"/>
      <c r="I114" s="21"/>
      <c r="J114" s="21"/>
      <c r="K114" s="21"/>
      <c r="L114" s="21"/>
      <c r="M114" s="15"/>
      <c r="N114" s="42"/>
      <c r="O114" s="86">
        <f t="shared" si="32"/>
        <v>0.00021460888904024908</v>
      </c>
      <c r="P114" s="86">
        <f t="shared" si="32"/>
        <v>0.27344404164439107</v>
      </c>
      <c r="Q114" s="86">
        <f t="shared" si="32"/>
        <v>57.04117194874577</v>
      </c>
      <c r="R114" s="86">
        <f t="shared" si="32"/>
        <v>4056.29632304237</v>
      </c>
      <c r="S114" s="86">
        <f t="shared" si="32"/>
        <v>141198.9121432981</v>
      </c>
      <c r="T114" s="86">
        <f t="shared" si="32"/>
        <v>2954434.5208526133</v>
      </c>
      <c r="U114" s="87">
        <f t="shared" si="32"/>
        <v>42225489.564675696</v>
      </c>
      <c r="V114" s="15"/>
      <c r="W114" s="96">
        <f t="shared" si="21"/>
        <v>7321.759660222898</v>
      </c>
      <c r="X114" s="97">
        <f t="shared" si="22"/>
        <v>137566.21819605445</v>
      </c>
      <c r="Y114" s="98">
        <f t="shared" si="23"/>
        <v>6524.44774531808</v>
      </c>
      <c r="Z114" s="97">
        <f t="shared" si="24"/>
        <v>123252.68884462197</v>
      </c>
      <c r="AA114" s="98">
        <f t="shared" si="25"/>
        <v>6469.72055455757</v>
      </c>
      <c r="AB114" s="98">
        <f t="shared" si="26"/>
        <v>122267.299521687</v>
      </c>
      <c r="AC114" s="91"/>
      <c r="AD114" s="92">
        <f t="shared" si="27"/>
        <v>6469.454314724085</v>
      </c>
    </row>
    <row r="115" spans="1:30" ht="11.25">
      <c r="A115" s="15"/>
      <c r="B115" s="93">
        <f>IF(C115&gt;$K$1,0,'Ranges and Data'!$A$10)</f>
        <v>535.2234266961229</v>
      </c>
      <c r="C115" s="94">
        <f t="shared" si="28"/>
        <v>34301.16666666661</v>
      </c>
      <c r="D115" s="85">
        <f t="shared" si="20"/>
        <v>21.166666666666814</v>
      </c>
      <c r="E115" s="15"/>
      <c r="F115" s="21"/>
      <c r="G115" s="21"/>
      <c r="H115" s="21"/>
      <c r="I115" s="21"/>
      <c r="J115" s="21"/>
      <c r="K115" s="21"/>
      <c r="L115" s="21"/>
      <c r="M115" s="15"/>
      <c r="N115" s="42"/>
      <c r="O115" s="86">
        <f t="shared" si="32"/>
        <v>0.00022737019765959137</v>
      </c>
      <c r="P115" s="86">
        <f t="shared" si="32"/>
        <v>0.28169358776585063</v>
      </c>
      <c r="Q115" s="86">
        <f t="shared" si="32"/>
        <v>57.54420096629194</v>
      </c>
      <c r="R115" s="86">
        <f t="shared" si="32"/>
        <v>4024.2067334350227</v>
      </c>
      <c r="S115" s="86">
        <f t="shared" si="32"/>
        <v>138145.28648348336</v>
      </c>
      <c r="T115" s="86">
        <f t="shared" si="32"/>
        <v>2856275.518921703</v>
      </c>
      <c r="U115" s="87">
        <f t="shared" si="32"/>
        <v>40399000.14985477</v>
      </c>
      <c r="V115" s="15"/>
      <c r="W115" s="96">
        <f t="shared" si="21"/>
        <v>7247.033215032744</v>
      </c>
      <c r="X115" s="97">
        <f t="shared" si="22"/>
        <v>135628.2372987275</v>
      </c>
      <c r="Y115" s="98">
        <f t="shared" si="23"/>
        <v>6460.779210091871</v>
      </c>
      <c r="Z115" s="97">
        <f t="shared" si="24"/>
        <v>121571.30573500041</v>
      </c>
      <c r="AA115" s="98">
        <f t="shared" si="25"/>
        <v>6406.797703988217</v>
      </c>
      <c r="AB115" s="98">
        <f t="shared" si="26"/>
        <v>120603.34266834833</v>
      </c>
      <c r="AC115" s="91"/>
      <c r="AD115" s="92">
        <f t="shared" si="27"/>
        <v>6406.535087437541</v>
      </c>
    </row>
    <row r="116" spans="1:30" ht="11.25">
      <c r="A116" s="15"/>
      <c r="B116" s="93">
        <f>IF(C116&gt;$K$1,0,'Ranges and Data'!$A$10)</f>
        <v>535.2234266961229</v>
      </c>
      <c r="C116" s="94">
        <f t="shared" si="28"/>
        <v>34331.58333333328</v>
      </c>
      <c r="D116" s="85">
        <f t="shared" si="20"/>
        <v>21.083333333333485</v>
      </c>
      <c r="E116" s="15"/>
      <c r="F116" s="21"/>
      <c r="G116" s="21"/>
      <c r="H116" s="21"/>
      <c r="I116" s="21"/>
      <c r="J116" s="21"/>
      <c r="K116" s="21"/>
      <c r="L116" s="21"/>
      <c r="M116" s="15"/>
      <c r="N116" s="42"/>
      <c r="O116" s="86">
        <f t="shared" si="32"/>
        <v>0.00024089033317751445</v>
      </c>
      <c r="P116" s="86">
        <f t="shared" si="32"/>
        <v>0.29019201483129015</v>
      </c>
      <c r="Q116" s="86">
        <f t="shared" si="32"/>
        <v>58.051666046139225</v>
      </c>
      <c r="R116" s="86">
        <f t="shared" si="32"/>
        <v>3992.37100638582</v>
      </c>
      <c r="S116" s="86">
        <f t="shared" si="32"/>
        <v>135157.69978621244</v>
      </c>
      <c r="T116" s="86">
        <f t="shared" si="32"/>
        <v>2761377.7805564776</v>
      </c>
      <c r="U116" s="87">
        <f t="shared" si="32"/>
        <v>38651516.65342215</v>
      </c>
      <c r="V116" s="15"/>
      <c r="W116" s="96">
        <f t="shared" si="21"/>
        <v>7173.06943371984</v>
      </c>
      <c r="X116" s="97">
        <f t="shared" si="22"/>
        <v>133715.48531764903</v>
      </c>
      <c r="Y116" s="98">
        <f t="shared" si="23"/>
        <v>6397.731981455291</v>
      </c>
      <c r="Z116" s="97">
        <f t="shared" si="24"/>
        <v>119911.00099048913</v>
      </c>
      <c r="AA116" s="98">
        <f t="shared" si="25"/>
        <v>6344.4868250009995</v>
      </c>
      <c r="AB116" s="98">
        <f t="shared" si="26"/>
        <v>118960.1869768226</v>
      </c>
      <c r="AC116" s="91"/>
      <c r="AD116" s="92">
        <f t="shared" si="27"/>
        <v>6344.227786438707</v>
      </c>
    </row>
    <row r="117" spans="1:30" ht="11.25">
      <c r="A117" s="15"/>
      <c r="B117" s="93">
        <f>IF(C117&gt;$K$1,0,'Ranges and Data'!$A$10)</f>
        <v>535.2234266961229</v>
      </c>
      <c r="C117" s="94">
        <f t="shared" si="28"/>
        <v>34361.99999999994</v>
      </c>
      <c r="D117" s="85">
        <f t="shared" si="20"/>
        <v>21.00000000000016</v>
      </c>
      <c r="E117" s="15"/>
      <c r="F117" s="21"/>
      <c r="G117" s="21"/>
      <c r="H117" s="21"/>
      <c r="I117" s="21"/>
      <c r="J117" s="21"/>
      <c r="K117" s="21"/>
      <c r="L117" s="21"/>
      <c r="M117" s="15"/>
      <c r="N117" s="42"/>
      <c r="O117" s="86">
        <f t="shared" si="32"/>
        <v>0.0002552144177894897</v>
      </c>
      <c r="P117" s="86">
        <f t="shared" si="32"/>
        <v>0.2989468313415848</v>
      </c>
      <c r="Q117" s="86">
        <f t="shared" si="32"/>
        <v>58.563606308592924</v>
      </c>
      <c r="R117" s="86">
        <f t="shared" si="32"/>
        <v>3960.7871335737113</v>
      </c>
      <c r="S117" s="86">
        <f t="shared" si="32"/>
        <v>132234.72386576157</v>
      </c>
      <c r="T117" s="86">
        <f t="shared" si="32"/>
        <v>2669632.952576535</v>
      </c>
      <c r="U117" s="87">
        <f t="shared" si="32"/>
        <v>36979621.62598571</v>
      </c>
      <c r="V117" s="15"/>
      <c r="W117" s="96">
        <f t="shared" si="21"/>
        <v>7099.860532477688</v>
      </c>
      <c r="X117" s="97">
        <f t="shared" si="22"/>
        <v>131827.64914414907</v>
      </c>
      <c r="Y117" s="98">
        <f t="shared" si="23"/>
        <v>6335.299996415422</v>
      </c>
      <c r="Z117" s="97">
        <f t="shared" si="24"/>
        <v>118271.52334034143</v>
      </c>
      <c r="AA117" s="98">
        <f t="shared" si="25"/>
        <v>6282.7819657165355</v>
      </c>
      <c r="AB117" s="98">
        <f t="shared" si="26"/>
        <v>117337.58522739305</v>
      </c>
      <c r="AC117" s="91"/>
      <c r="AD117" s="92">
        <f t="shared" si="27"/>
        <v>6282.526460386519</v>
      </c>
    </row>
    <row r="118" spans="1:30" ht="11.25">
      <c r="A118" s="15"/>
      <c r="B118" s="93">
        <f>IF(C118&gt;$K$1,0,'Ranges and Data'!$A$10)</f>
        <v>535.2234266961229</v>
      </c>
      <c r="C118" s="94">
        <f t="shared" si="28"/>
        <v>34392.416666666606</v>
      </c>
      <c r="D118" s="85">
        <f t="shared" si="20"/>
        <v>20.91666666666683</v>
      </c>
      <c r="E118" s="15"/>
      <c r="F118" s="21"/>
      <c r="G118" s="21"/>
      <c r="H118" s="21"/>
      <c r="I118" s="21"/>
      <c r="J118" s="21"/>
      <c r="K118" s="21"/>
      <c r="L118" s="21"/>
      <c r="M118" s="15"/>
      <c r="N118" s="42"/>
      <c r="O118" s="86">
        <f t="shared" si="32"/>
        <v>0.00027039025679635785</v>
      </c>
      <c r="P118" s="86">
        <f t="shared" si="32"/>
        <v>0.3079657723219258</v>
      </c>
      <c r="Q118" s="86">
        <f t="shared" si="32"/>
        <v>59.08006121894859</v>
      </c>
      <c r="R118" s="86">
        <f t="shared" si="32"/>
        <v>3929.453122565582</v>
      </c>
      <c r="S118" s="86">
        <f t="shared" si="32"/>
        <v>129374.96142293749</v>
      </c>
      <c r="T118" s="86">
        <f t="shared" si="32"/>
        <v>2580936.2817594167</v>
      </c>
      <c r="U118" s="87">
        <f t="shared" si="32"/>
        <v>35380045.44201999</v>
      </c>
      <c r="V118" s="15"/>
      <c r="W118" s="96">
        <f t="shared" si="21"/>
        <v>7027.398806941917</v>
      </c>
      <c r="X118" s="97">
        <f t="shared" si="22"/>
        <v>129964.4194328349</v>
      </c>
      <c r="Y118" s="98">
        <f t="shared" si="23"/>
        <v>6273.477251144784</v>
      </c>
      <c r="Z118" s="97">
        <f t="shared" si="24"/>
        <v>116652.62441060008</v>
      </c>
      <c r="AA118" s="98">
        <f t="shared" si="25"/>
        <v>6221.677232141892</v>
      </c>
      <c r="AB118" s="98">
        <f t="shared" si="26"/>
        <v>115735.29304154994</v>
      </c>
      <c r="AC118" s="91"/>
      <c r="AD118" s="92">
        <f t="shared" si="27"/>
        <v>6221.425215820167</v>
      </c>
    </row>
    <row r="119" spans="1:30" ht="11.25">
      <c r="A119" s="15"/>
      <c r="B119" s="93">
        <f>IF(C119&gt;$K$1,0,'Ranges and Data'!$A$10)</f>
        <v>535.2234266961229</v>
      </c>
      <c r="C119" s="94">
        <f t="shared" si="28"/>
        <v>34422.83333333327</v>
      </c>
      <c r="D119" s="85">
        <f t="shared" si="20"/>
        <v>20.833333333333506</v>
      </c>
      <c r="E119" s="15"/>
      <c r="F119" s="21"/>
      <c r="G119" s="21"/>
      <c r="H119" s="21"/>
      <c r="I119" s="21"/>
      <c r="J119" s="21"/>
      <c r="K119" s="21"/>
      <c r="L119" s="21"/>
      <c r="M119" s="15"/>
      <c r="N119" s="42"/>
      <c r="O119" s="86">
        <f aca="true" t="shared" si="33" ref="O119:U128">$B119*O$7^$D119</f>
        <v>0.00028646849815007225</v>
      </c>
      <c r="P119" s="86">
        <f t="shared" si="33"/>
        <v>0.3172568061558413</v>
      </c>
      <c r="Q119" s="86">
        <f t="shared" si="33"/>
        <v>59.60107059053443</v>
      </c>
      <c r="R119" s="86">
        <f t="shared" si="33"/>
        <v>3898.3669966905704</v>
      </c>
      <c r="S119" s="86">
        <f t="shared" si="33"/>
        <v>126577.04537711349</v>
      </c>
      <c r="T119" s="86">
        <f t="shared" si="33"/>
        <v>2495186.49523456</v>
      </c>
      <c r="U119" s="87">
        <f t="shared" si="33"/>
        <v>33849659.905654535</v>
      </c>
      <c r="V119" s="15"/>
      <c r="W119" s="96">
        <f t="shared" si="21"/>
        <v>6955.676631379505</v>
      </c>
      <c r="X119" s="97">
        <f t="shared" si="22"/>
        <v>128125.49055738954</v>
      </c>
      <c r="Y119" s="98">
        <f t="shared" si="23"/>
        <v>6212.2578004040015</v>
      </c>
      <c r="Z119" s="97">
        <f t="shared" si="24"/>
        <v>115054.05869148966</v>
      </c>
      <c r="AA119" s="98">
        <f t="shared" si="25"/>
        <v>6161.16678760762</v>
      </c>
      <c r="AB119" s="98">
        <f t="shared" si="26"/>
        <v>114153.06885011039</v>
      </c>
      <c r="AC119" s="91"/>
      <c r="AD119" s="92">
        <f t="shared" si="27"/>
        <v>6160.918216596212</v>
      </c>
    </row>
    <row r="120" spans="1:30" ht="11.25">
      <c r="A120" s="15"/>
      <c r="B120" s="93">
        <f>IF(C120&gt;$K$1,0,'Ranges and Data'!$A$10)</f>
        <v>535.2234266961229</v>
      </c>
      <c r="C120" s="94">
        <f t="shared" si="28"/>
        <v>34453.249999999935</v>
      </c>
      <c r="D120" s="85">
        <f t="shared" si="20"/>
        <v>20.750000000000178</v>
      </c>
      <c r="E120" s="15"/>
      <c r="F120" s="21"/>
      <c r="G120" s="21"/>
      <c r="H120" s="21"/>
      <c r="I120" s="21"/>
      <c r="J120" s="21"/>
      <c r="K120" s="21"/>
      <c r="L120" s="21"/>
      <c r="M120" s="15"/>
      <c r="N120" s="42"/>
      <c r="O120" s="86">
        <f t="shared" si="33"/>
        <v>0.00030350280148653457</v>
      </c>
      <c r="P120" s="86">
        <f t="shared" si="33"/>
        <v>0.3268281416253971</v>
      </c>
      <c r="Q120" s="86">
        <f t="shared" si="33"/>
        <v>60.12667458778041</v>
      </c>
      <c r="R120" s="86">
        <f t="shared" si="33"/>
        <v>3867.526794915369</v>
      </c>
      <c r="S120" s="86">
        <f t="shared" si="33"/>
        <v>123839.63821270957</v>
      </c>
      <c r="T120" s="86">
        <f t="shared" si="33"/>
        <v>2412285.6848510425</v>
      </c>
      <c r="U120" s="87">
        <f t="shared" si="33"/>
        <v>32385472.133046914</v>
      </c>
      <c r="V120" s="15"/>
      <c r="W120" s="96">
        <f t="shared" si="21"/>
        <v>6884.68645788624</v>
      </c>
      <c r="X120" s="97">
        <f t="shared" si="22"/>
        <v>126310.56056687949</v>
      </c>
      <c r="Y120" s="98">
        <f t="shared" si="23"/>
        <v>6151.635756970037</v>
      </c>
      <c r="Z120" s="97">
        <f t="shared" si="24"/>
        <v>113475.58350516757</v>
      </c>
      <c r="AA120" s="98">
        <f t="shared" si="25"/>
        <v>6101.244852210205</v>
      </c>
      <c r="AB120" s="98">
        <f t="shared" si="26"/>
        <v>112590.6738616875</v>
      </c>
      <c r="AC120" s="91"/>
      <c r="AD120" s="92">
        <f t="shared" si="27"/>
        <v>6100.9996833311125</v>
      </c>
    </row>
    <row r="121" spans="1:30" ht="11.25">
      <c r="A121" s="15"/>
      <c r="B121" s="93">
        <f>IF(C121&gt;$K$1,0,'Ranges and Data'!$A$10)</f>
        <v>535.2234266961229</v>
      </c>
      <c r="C121" s="94">
        <f t="shared" si="28"/>
        <v>34483.6666666666</v>
      </c>
      <c r="D121" s="85">
        <f t="shared" si="20"/>
        <v>20.666666666666853</v>
      </c>
      <c r="E121" s="15"/>
      <c r="F121" s="21"/>
      <c r="G121" s="21"/>
      <c r="H121" s="21"/>
      <c r="I121" s="21"/>
      <c r="J121" s="21"/>
      <c r="K121" s="21"/>
      <c r="L121" s="21"/>
      <c r="M121" s="15"/>
      <c r="N121" s="42"/>
      <c r="O121" s="86">
        <f t="shared" si="33"/>
        <v>0.0003215500172096366</v>
      </c>
      <c r="P121" s="86">
        <f t="shared" si="33"/>
        <v>0.336688235163789</v>
      </c>
      <c r="Q121" s="86">
        <f t="shared" si="33"/>
        <v>60.65691372931464</v>
      </c>
      <c r="R121" s="86">
        <f t="shared" si="33"/>
        <v>3836.9305717205184</v>
      </c>
      <c r="S121" s="86">
        <f t="shared" si="33"/>
        <v>121161.4313398073</v>
      </c>
      <c r="T121" s="86">
        <f t="shared" si="33"/>
        <v>2332139.1953871753</v>
      </c>
      <c r="U121" s="87">
        <f t="shared" si="33"/>
        <v>30984618.699378915</v>
      </c>
      <c r="V121" s="15"/>
      <c r="W121" s="96">
        <f t="shared" si="21"/>
        <v>6814.420815592408</v>
      </c>
      <c r="X121" s="97">
        <f t="shared" si="22"/>
        <v>124519.33114256796</v>
      </c>
      <c r="Y121" s="98">
        <f t="shared" si="23"/>
        <v>6091.605291070067</v>
      </c>
      <c r="Z121" s="97">
        <f t="shared" si="24"/>
        <v>111916.95897383349</v>
      </c>
      <c r="AA121" s="98">
        <f t="shared" si="25"/>
        <v>6041.905702260024</v>
      </c>
      <c r="AB121" s="98">
        <f t="shared" si="26"/>
        <v>111047.87203150924</v>
      </c>
      <c r="AC121" s="91"/>
      <c r="AD121" s="92">
        <f t="shared" si="27"/>
        <v>6041.66389284922</v>
      </c>
    </row>
    <row r="122" spans="1:30" ht="11.25">
      <c r="A122" s="15"/>
      <c r="B122" s="93">
        <f>IF(C122&gt;$K$1,0,'Ranges and Data'!$A$10)</f>
        <v>535.2234266961229</v>
      </c>
      <c r="C122" s="94">
        <f t="shared" si="28"/>
        <v>34514.08333333326</v>
      </c>
      <c r="D122" s="85">
        <f t="shared" si="20"/>
        <v>20.583333333333528</v>
      </c>
      <c r="E122" s="15"/>
      <c r="F122" s="21"/>
      <c r="G122" s="21"/>
      <c r="H122" s="21"/>
      <c r="I122" s="21"/>
      <c r="J122" s="21"/>
      <c r="K122" s="21"/>
      <c r="L122" s="21"/>
      <c r="M122" s="15"/>
      <c r="N122" s="42"/>
      <c r="O122" s="86">
        <f t="shared" si="33"/>
        <v>0.0003406703762242045</v>
      </c>
      <c r="P122" s="86">
        <f t="shared" si="33"/>
        <v>0.3468457983267433</v>
      </c>
      <c r="Q122" s="86">
        <f t="shared" si="33"/>
        <v>61.191828891086814</v>
      </c>
      <c r="R122" s="86">
        <f t="shared" si="33"/>
        <v>3806.576396977671</v>
      </c>
      <c r="S122" s="86">
        <f t="shared" si="33"/>
        <v>118541.14446859092</v>
      </c>
      <c r="T122" s="86">
        <f t="shared" si="33"/>
        <v>2254655.516474194</v>
      </c>
      <c r="U122" s="87">
        <f t="shared" si="33"/>
        <v>29644360.03902653</v>
      </c>
      <c r="V122" s="15"/>
      <c r="W122" s="96">
        <f t="shared" si="21"/>
        <v>6744.8723098765695</v>
      </c>
      <c r="X122" s="97">
        <f t="shared" si="22"/>
        <v>122751.50755522607</v>
      </c>
      <c r="Y122" s="98">
        <f t="shared" si="23"/>
        <v>6032.160629820853</v>
      </c>
      <c r="Z122" s="97">
        <f t="shared" si="24"/>
        <v>110377.9479881905</v>
      </c>
      <c r="AA122" s="98">
        <f t="shared" si="25"/>
        <v>5983.143669734581</v>
      </c>
      <c r="AB122" s="98">
        <f t="shared" si="26"/>
        <v>109524.43003057913</v>
      </c>
      <c r="AC122" s="91"/>
      <c r="AD122" s="92">
        <f t="shared" si="27"/>
        <v>5982.905177636113</v>
      </c>
    </row>
    <row r="123" spans="1:30" ht="11.25">
      <c r="A123" s="15"/>
      <c r="B123" s="93">
        <f>IF(C123&gt;$K$1,0,'Ranges and Data'!$A$10)</f>
        <v>535.2234266961229</v>
      </c>
      <c r="C123" s="94">
        <f t="shared" si="28"/>
        <v>34544.49999999993</v>
      </c>
      <c r="D123" s="85">
        <f t="shared" si="20"/>
        <v>20.5000000000002</v>
      </c>
      <c r="E123" s="15"/>
      <c r="F123" s="21"/>
      <c r="G123" s="21"/>
      <c r="H123" s="21"/>
      <c r="I123" s="21"/>
      <c r="J123" s="21"/>
      <c r="K123" s="21"/>
      <c r="L123" s="21"/>
      <c r="M123" s="15"/>
      <c r="N123" s="42"/>
      <c r="O123" s="86">
        <f t="shared" si="33"/>
        <v>0.00036092769095103975</v>
      </c>
      <c r="P123" s="86">
        <f t="shared" si="33"/>
        <v>0.357309805489321</v>
      </c>
      <c r="Q123" s="86">
        <f t="shared" si="33"/>
        <v>61.73146130951953</v>
      </c>
      <c r="R123" s="86">
        <f t="shared" si="33"/>
        <v>3776.462355827833</v>
      </c>
      <c r="S123" s="86">
        <f t="shared" si="33"/>
        <v>115977.52499731803</v>
      </c>
      <c r="T123" s="86">
        <f t="shared" si="33"/>
        <v>2179746.178110766</v>
      </c>
      <c r="U123" s="87">
        <f t="shared" si="33"/>
        <v>28362075.087954696</v>
      </c>
      <c r="V123" s="15"/>
      <c r="W123" s="96">
        <f t="shared" si="21"/>
        <v>6676.0336215873585</v>
      </c>
      <c r="X123" s="97">
        <f t="shared" si="22"/>
        <v>121006.79862293738</v>
      </c>
      <c r="Y123" s="98">
        <f t="shared" si="23"/>
        <v>5973.296056673571</v>
      </c>
      <c r="Z123" s="97">
        <f t="shared" si="24"/>
        <v>108858.31617625532</v>
      </c>
      <c r="AA123" s="98">
        <f t="shared" si="25"/>
        <v>5924.953141737126</v>
      </c>
      <c r="AB123" s="98">
        <f t="shared" si="26"/>
        <v>108020.11721517831</v>
      </c>
      <c r="AC123" s="91"/>
      <c r="AD123" s="92">
        <f t="shared" si="27"/>
        <v>5924.717925297257</v>
      </c>
    </row>
    <row r="124" spans="1:30" ht="11.25">
      <c r="A124" s="15"/>
      <c r="B124" s="93">
        <f>IF(C124&gt;$K$1,0,'Ranges and Data'!$A$10)</f>
        <v>535.2234266961229</v>
      </c>
      <c r="C124" s="94">
        <f t="shared" si="28"/>
        <v>34574.91666666659</v>
      </c>
      <c r="D124" s="85">
        <f t="shared" si="20"/>
        <v>20.416666666666874</v>
      </c>
      <c r="E124" s="15"/>
      <c r="F124" s="21"/>
      <c r="G124" s="21"/>
      <c r="H124" s="21"/>
      <c r="I124" s="21"/>
      <c r="J124" s="21"/>
      <c r="K124" s="21"/>
      <c r="L124" s="21"/>
      <c r="M124" s="15"/>
      <c r="N124" s="42"/>
      <c r="O124" s="86">
        <f t="shared" si="33"/>
        <v>0.000382389568294942</v>
      </c>
      <c r="P124" s="86">
        <f t="shared" si="33"/>
        <v>0.3680895017749221</v>
      </c>
      <c r="Q124" s="86">
        <f t="shared" si="33"/>
        <v>62.27585258468684</v>
      </c>
      <c r="R124" s="86">
        <f t="shared" si="33"/>
        <v>3746.5865485605723</v>
      </c>
      <c r="S124" s="86">
        <f t="shared" si="33"/>
        <v>113469.34741352616</v>
      </c>
      <c r="T124" s="86">
        <f t="shared" si="33"/>
        <v>2107325.64964892</v>
      </c>
      <c r="U124" s="87">
        <f t="shared" si="33"/>
        <v>27135256.157858975</v>
      </c>
      <c r="V124" s="15"/>
      <c r="W124" s="96">
        <f t="shared" si="21"/>
        <v>6607.897506273249</v>
      </c>
      <c r="X124" s="97">
        <f t="shared" si="22"/>
        <v>119284.91666939009</v>
      </c>
      <c r="Y124" s="98">
        <f t="shared" si="23"/>
        <v>5915.005910864096</v>
      </c>
      <c r="Z124" s="97">
        <f t="shared" si="24"/>
        <v>107357.83187251393</v>
      </c>
      <c r="AA124" s="98">
        <f t="shared" si="25"/>
        <v>5867.328559960511</v>
      </c>
      <c r="AB124" s="98">
        <f t="shared" si="26"/>
        <v>106534.7055967034</v>
      </c>
      <c r="AC124" s="91"/>
      <c r="AD124" s="92">
        <f t="shared" si="27"/>
        <v>5867.096578021953</v>
      </c>
    </row>
    <row r="125" spans="1:30" ht="11.25">
      <c r="A125" s="15"/>
      <c r="B125" s="93">
        <f>IF(C125&gt;$K$1,0,'Ranges and Data'!$A$10)</f>
        <v>535.2234266961229</v>
      </c>
      <c r="C125" s="94">
        <f t="shared" si="28"/>
        <v>34605.333333333256</v>
      </c>
      <c r="D125" s="85">
        <f t="shared" si="20"/>
        <v>20.333333333333545</v>
      </c>
      <c r="E125" s="15"/>
      <c r="F125" s="21"/>
      <c r="G125" s="21"/>
      <c r="H125" s="21"/>
      <c r="I125" s="21"/>
      <c r="J125" s="21"/>
      <c r="K125" s="21"/>
      <c r="L125" s="21"/>
      <c r="M125" s="15"/>
      <c r="N125" s="42"/>
      <c r="O125" s="86">
        <f t="shared" si="33"/>
        <v>0.00040512763527647295</v>
      </c>
      <c r="P125" s="86">
        <f t="shared" si="33"/>
        <v>0.3791944112235123</v>
      </c>
      <c r="Q125" s="86">
        <f t="shared" si="33"/>
        <v>62.825044683521604</v>
      </c>
      <c r="R125" s="86">
        <f t="shared" si="33"/>
        <v>3716.947090494168</v>
      </c>
      <c r="S125" s="86">
        <f t="shared" si="33"/>
        <v>111015.41270818829</v>
      </c>
      <c r="T125" s="86">
        <f t="shared" si="33"/>
        <v>2037311.2421360875</v>
      </c>
      <c r="U125" s="87">
        <f t="shared" si="33"/>
        <v>25961504.032028142</v>
      </c>
      <c r="V125" s="15"/>
      <c r="W125" s="96">
        <f t="shared" si="21"/>
        <v>6540.456793420121</v>
      </c>
      <c r="X125" s="97">
        <f t="shared" si="22"/>
        <v>117585.57748265003</v>
      </c>
      <c r="Y125" s="98">
        <f t="shared" si="23"/>
        <v>5857.284586868616</v>
      </c>
      <c r="Z125" s="97">
        <f t="shared" si="24"/>
        <v>105876.26608741812</v>
      </c>
      <c r="AA125" s="98">
        <f t="shared" si="25"/>
        <v>5810.264420156258</v>
      </c>
      <c r="AB125" s="98">
        <f t="shared" si="26"/>
        <v>105067.9698118371</v>
      </c>
      <c r="AC125" s="91"/>
      <c r="AD125" s="92">
        <f t="shared" si="27"/>
        <v>5810.035632052443</v>
      </c>
    </row>
    <row r="126" spans="1:30" ht="11.25">
      <c r="A126" s="15"/>
      <c r="B126" s="93">
        <f>IF(C126&gt;$K$1,0,'Ranges and Data'!$A$10)</f>
        <v>535.2234266961229</v>
      </c>
      <c r="C126" s="94">
        <f t="shared" si="28"/>
        <v>34635.74999999992</v>
      </c>
      <c r="D126" s="85">
        <f t="shared" si="20"/>
        <v>20.25000000000022</v>
      </c>
      <c r="E126" s="15"/>
      <c r="F126" s="21"/>
      <c r="G126" s="21"/>
      <c r="H126" s="21"/>
      <c r="I126" s="21"/>
      <c r="J126" s="21"/>
      <c r="K126" s="21"/>
      <c r="L126" s="21"/>
      <c r="M126" s="15"/>
      <c r="N126" s="42"/>
      <c r="O126" s="86">
        <f t="shared" si="33"/>
        <v>0.00042921777808047377</v>
      </c>
      <c r="P126" s="86">
        <f t="shared" si="33"/>
        <v>0.39063434520626156</v>
      </c>
      <c r="Q126" s="86">
        <f t="shared" si="33"/>
        <v>63.37907994305033</v>
      </c>
      <c r="R126" s="86">
        <f t="shared" si="33"/>
        <v>3687.5421118567297</v>
      </c>
      <c r="S126" s="86">
        <f t="shared" si="33"/>
        <v>108614.54780253938</v>
      </c>
      <c r="T126" s="86">
        <f t="shared" si="33"/>
        <v>1969623.0139018062</v>
      </c>
      <c r="U126" s="87">
        <f t="shared" si="33"/>
        <v>24838523.273339707</v>
      </c>
      <c r="V126" s="15"/>
      <c r="W126" s="96">
        <f t="shared" si="21"/>
        <v>6473.704385696703</v>
      </c>
      <c r="X126" s="97">
        <f t="shared" si="22"/>
        <v>115908.50027441174</v>
      </c>
      <c r="Y126" s="98">
        <f t="shared" si="23"/>
        <v>5800.126533864581</v>
      </c>
      <c r="Z126" s="97">
        <f t="shared" si="24"/>
        <v>104413.39247722004</v>
      </c>
      <c r="AA126" s="98">
        <f t="shared" si="25"/>
        <v>5753.7552716088185</v>
      </c>
      <c r="AB126" s="98">
        <f t="shared" si="26"/>
        <v>103619.68709304821</v>
      </c>
      <c r="AC126" s="91"/>
      <c r="AD126" s="92">
        <f t="shared" si="27"/>
        <v>5753.529637158248</v>
      </c>
    </row>
    <row r="127" spans="1:30" ht="11.25">
      <c r="A127" s="15"/>
      <c r="B127" s="93">
        <f>IF(C127&gt;$K$1,0,'Ranges and Data'!$A$10)</f>
        <v>535.2234266961229</v>
      </c>
      <c r="C127" s="94">
        <f t="shared" si="28"/>
        <v>34666.166666666584</v>
      </c>
      <c r="D127" s="85">
        <f t="shared" si="20"/>
        <v>20.16666666666689</v>
      </c>
      <c r="E127" s="15"/>
      <c r="F127" s="21"/>
      <c r="G127" s="21"/>
      <c r="H127" s="21"/>
      <c r="I127" s="21"/>
      <c r="J127" s="21"/>
      <c r="K127" s="21"/>
      <c r="L127" s="21"/>
      <c r="M127" s="15"/>
      <c r="N127" s="42"/>
      <c r="O127" s="86">
        <f t="shared" si="33"/>
        <v>0.0004547403953191585</v>
      </c>
      <c r="P127" s="86">
        <f t="shared" si="33"/>
        <v>0.40241941109406093</v>
      </c>
      <c r="Q127" s="86">
        <f t="shared" si="33"/>
        <v>63.93800107365717</v>
      </c>
      <c r="R127" s="86">
        <f t="shared" si="33"/>
        <v>3658.36975766823</v>
      </c>
      <c r="S127" s="86">
        <f t="shared" si="33"/>
        <v>106265.60498729703</v>
      </c>
      <c r="T127" s="86">
        <f t="shared" si="33"/>
        <v>1904183.6792811942</v>
      </c>
      <c r="U127" s="87">
        <f t="shared" si="33"/>
        <v>23764117.735209707</v>
      </c>
      <c r="V127" s="15"/>
      <c r="W127" s="96">
        <f t="shared" si="21"/>
        <v>6407.633258207617</v>
      </c>
      <c r="X127" s="97">
        <f t="shared" si="22"/>
        <v>114253.40763971857</v>
      </c>
      <c r="Y127" s="98">
        <f t="shared" si="23"/>
        <v>5743.526255196883</v>
      </c>
      <c r="Z127" s="97">
        <f t="shared" si="24"/>
        <v>102968.98731413997</v>
      </c>
      <c r="AA127" s="98">
        <f t="shared" si="25"/>
        <v>5697.7957166148935</v>
      </c>
      <c r="AB127" s="98">
        <f t="shared" si="26"/>
        <v>102189.63723941629</v>
      </c>
      <c r="AC127" s="91"/>
      <c r="AD127" s="92">
        <f t="shared" si="27"/>
        <v>5697.573196115558</v>
      </c>
    </row>
    <row r="128" spans="1:30" ht="11.25">
      <c r="A128" s="15"/>
      <c r="B128" s="93">
        <f>IF(C128&gt;$K$1,0,'Ranges and Data'!$A$10)</f>
        <v>535.2234266961229</v>
      </c>
      <c r="C128" s="94">
        <f t="shared" si="28"/>
        <v>34696.58333333325</v>
      </c>
      <c r="D128" s="85">
        <f t="shared" si="20"/>
        <v>20.083333333333567</v>
      </c>
      <c r="E128" s="15"/>
      <c r="F128" s="21"/>
      <c r="G128" s="21"/>
      <c r="H128" s="21"/>
      <c r="I128" s="21"/>
      <c r="J128" s="21"/>
      <c r="K128" s="21"/>
      <c r="L128" s="21"/>
      <c r="M128" s="15"/>
      <c r="N128" s="42"/>
      <c r="O128" s="86">
        <f t="shared" si="33"/>
        <v>0.0004817806663550015</v>
      </c>
      <c r="P128" s="86">
        <f t="shared" si="33"/>
        <v>0.41456002118754526</v>
      </c>
      <c r="Q128" s="86">
        <f t="shared" si="33"/>
        <v>64.50185116237637</v>
      </c>
      <c r="R128" s="86">
        <f t="shared" si="33"/>
        <v>3629.4281876235013</v>
      </c>
      <c r="S128" s="86">
        <f t="shared" si="33"/>
        <v>103967.46137401176</v>
      </c>
      <c r="T128" s="86">
        <f t="shared" si="33"/>
        <v>1840918.5203710455</v>
      </c>
      <c r="U128" s="87">
        <f t="shared" si="33"/>
        <v>22736186.266719885</v>
      </c>
      <c r="V128" s="15"/>
      <c r="W128" s="96">
        <f t="shared" si="21"/>
        <v>6342.236457754122</v>
      </c>
      <c r="X128" s="97">
        <f t="shared" si="22"/>
        <v>112620.0255171501</v>
      </c>
      <c r="Y128" s="98">
        <f t="shared" si="23"/>
        <v>5687.478307849301</v>
      </c>
      <c r="Z128" s="97">
        <f t="shared" si="24"/>
        <v>101542.82945686563</v>
      </c>
      <c r="AA128" s="98">
        <f t="shared" si="25"/>
        <v>5642.380409967885</v>
      </c>
      <c r="AB128" s="98">
        <f t="shared" si="26"/>
        <v>100777.60258777958</v>
      </c>
      <c r="AC128" s="91"/>
      <c r="AD128" s="92">
        <f t="shared" si="27"/>
        <v>5642.1609641917275</v>
      </c>
    </row>
    <row r="129" spans="1:30" ht="11.25">
      <c r="A129" s="15"/>
      <c r="B129" s="93">
        <f>IF(C129&gt;$K$1,0,'Ranges and Data'!$A$10)</f>
        <v>535.2234266961229</v>
      </c>
      <c r="C129" s="94">
        <f t="shared" si="28"/>
        <v>34726.99999999991</v>
      </c>
      <c r="D129" s="85">
        <f t="shared" si="20"/>
        <v>20.000000000000238</v>
      </c>
      <c r="E129" s="15"/>
      <c r="F129" s="21"/>
      <c r="G129" s="21"/>
      <c r="H129" s="21"/>
      <c r="I129" s="21"/>
      <c r="J129" s="21"/>
      <c r="K129" s="21"/>
      <c r="L129" s="21"/>
      <c r="M129" s="15"/>
      <c r="N129" s="42"/>
      <c r="O129" s="86">
        <f aca="true" t="shared" si="34" ref="O129:U138">$B129*O$7^$D129</f>
        <v>0.0005104288355789514</v>
      </c>
      <c r="P129" s="86">
        <f t="shared" si="34"/>
        <v>0.42706690191653757</v>
      </c>
      <c r="Q129" s="86">
        <f t="shared" si="34"/>
        <v>65.07067367621381</v>
      </c>
      <c r="R129" s="86">
        <f t="shared" si="34"/>
        <v>3600.715575976128</v>
      </c>
      <c r="S129" s="86">
        <f t="shared" si="34"/>
        <v>101719.0183582802</v>
      </c>
      <c r="T129" s="86">
        <f t="shared" si="34"/>
        <v>1779755.3017177477</v>
      </c>
      <c r="U129" s="87">
        <f t="shared" si="34"/>
        <v>21752718.603521902</v>
      </c>
      <c r="V129" s="15"/>
      <c r="W129" s="96">
        <f t="shared" si="21"/>
        <v>6277.507102102349</v>
      </c>
      <c r="X129" s="97">
        <f t="shared" si="22"/>
        <v>111008.08314946813</v>
      </c>
      <c r="Y129" s="98">
        <f t="shared" si="23"/>
        <v>5631.977301921029</v>
      </c>
      <c r="Z129" s="97">
        <f t="shared" si="24"/>
        <v>100134.70032137638</v>
      </c>
      <c r="AA129" s="98">
        <f t="shared" si="25"/>
        <v>5587.504058447296</v>
      </c>
      <c r="AB129" s="98">
        <f t="shared" si="26"/>
        <v>99383.3679842</v>
      </c>
      <c r="AC129" s="91"/>
      <c r="AD129" s="92">
        <f t="shared" si="27"/>
        <v>5587.287648634758</v>
      </c>
    </row>
    <row r="130" spans="1:30" ht="11.25">
      <c r="A130" s="15"/>
      <c r="B130" s="93">
        <f>IF(C130&gt;$K$1,0,'Ranges and Data'!$A$10)</f>
        <v>535.2234266961229</v>
      </c>
      <c r="C130" s="94">
        <f t="shared" si="28"/>
        <v>34757.41666666658</v>
      </c>
      <c r="D130" s="85">
        <f t="shared" si="20"/>
        <v>19.916666666666913</v>
      </c>
      <c r="E130" s="15"/>
      <c r="F130" s="21"/>
      <c r="G130" s="21"/>
      <c r="H130" s="21"/>
      <c r="I130" s="21"/>
      <c r="J130" s="21"/>
      <c r="K130" s="21"/>
      <c r="L130" s="21"/>
      <c r="M130" s="15"/>
      <c r="N130" s="42"/>
      <c r="O130" s="86">
        <f t="shared" si="34"/>
        <v>0.000540780513592685</v>
      </c>
      <c r="P130" s="86">
        <f t="shared" si="34"/>
        <v>0.439951103317024</v>
      </c>
      <c r="Q130" s="86">
        <f t="shared" si="34"/>
        <v>65.64451246549788</v>
      </c>
      <c r="R130" s="86">
        <f t="shared" si="34"/>
        <v>3572.2301114232832</v>
      </c>
      <c r="S130" s="86">
        <f t="shared" si="34"/>
        <v>99519.20109456939</v>
      </c>
      <c r="T130" s="86">
        <f t="shared" si="34"/>
        <v>1720624.18783967</v>
      </c>
      <c r="U130" s="87">
        <f t="shared" si="34"/>
        <v>20811791.436483275</v>
      </c>
      <c r="V130" s="15"/>
      <c r="W130" s="96">
        <f t="shared" si="21"/>
        <v>6213.4383792590515</v>
      </c>
      <c r="X130" s="97">
        <f t="shared" si="22"/>
        <v>109417.3130447194</v>
      </c>
      <c r="Y130" s="98">
        <f t="shared" si="23"/>
        <v>5577.01790010838</v>
      </c>
      <c r="Z130" s="97">
        <f t="shared" si="24"/>
        <v>98744.38385209239</v>
      </c>
      <c r="AA130" s="98">
        <f t="shared" si="25"/>
        <v>5533.161420313156</v>
      </c>
      <c r="AB130" s="98">
        <f t="shared" si="26"/>
        <v>98006.72075574432</v>
      </c>
      <c r="AC130" s="91"/>
      <c r="AD130" s="92">
        <f t="shared" si="27"/>
        <v>5532.948008167764</v>
      </c>
    </row>
    <row r="131" spans="1:30" ht="11.25">
      <c r="A131" s="15"/>
      <c r="B131" s="93">
        <f>IF(C131&gt;$K$1,0,'Ranges and Data'!$A$10)</f>
        <v>535.2234266961229</v>
      </c>
      <c r="C131" s="94">
        <f t="shared" si="28"/>
        <v>34787.83333333324</v>
      </c>
      <c r="D131" s="85">
        <f t="shared" si="20"/>
        <v>19.833333333333584</v>
      </c>
      <c r="E131" s="15"/>
      <c r="F131" s="21"/>
      <c r="G131" s="21"/>
      <c r="H131" s="21"/>
      <c r="I131" s="21"/>
      <c r="J131" s="21"/>
      <c r="K131" s="21"/>
      <c r="L131" s="21"/>
      <c r="M131" s="15"/>
      <c r="N131" s="42"/>
      <c r="O131" s="86">
        <f t="shared" si="34"/>
        <v>0.0005729369963001131</v>
      </c>
      <c r="P131" s="86">
        <f t="shared" si="34"/>
        <v>0.4532240087940462</v>
      </c>
      <c r="Q131" s="86">
        <f t="shared" si="34"/>
        <v>66.22341176725992</v>
      </c>
      <c r="R131" s="86">
        <f t="shared" si="34"/>
        <v>3543.969996991453</v>
      </c>
      <c r="S131" s="86">
        <f t="shared" si="34"/>
        <v>97366.95798239697</v>
      </c>
      <c r="T131" s="86">
        <f t="shared" si="34"/>
        <v>1663457.663489758</v>
      </c>
      <c r="U131" s="87">
        <f t="shared" si="34"/>
        <v>19911564.650385834</v>
      </c>
      <c r="V131" s="15"/>
      <c r="W131" s="96">
        <f t="shared" si="21"/>
        <v>6150.023546754707</v>
      </c>
      <c r="X131" s="97">
        <f t="shared" si="22"/>
        <v>107847.45093778653</v>
      </c>
      <c r="Y131" s="98">
        <f t="shared" si="23"/>
        <v>5522.594817191509</v>
      </c>
      <c r="Z131" s="97">
        <f t="shared" si="24"/>
        <v>97371.66649334198</v>
      </c>
      <c r="AA131" s="98">
        <f t="shared" si="25"/>
        <v>5479.347304805302</v>
      </c>
      <c r="AB131" s="98">
        <f t="shared" si="26"/>
        <v>96647.45068257587</v>
      </c>
      <c r="AC131" s="91"/>
      <c r="AD131" s="92">
        <f t="shared" si="27"/>
        <v>5479.136852488338</v>
      </c>
    </row>
    <row r="132" spans="1:30" ht="11.25">
      <c r="A132" s="15"/>
      <c r="B132" s="93">
        <f>IF(C132&gt;$K$1,0,'Ranges and Data'!$A$10)</f>
        <v>535.2234266961229</v>
      </c>
      <c r="C132" s="94">
        <f t="shared" si="28"/>
        <v>34818.249999999905</v>
      </c>
      <c r="D132" s="85">
        <f t="shared" si="20"/>
        <v>19.75000000000026</v>
      </c>
      <c r="E132" s="15"/>
      <c r="F132" s="21"/>
      <c r="G132" s="21"/>
      <c r="H132" s="21"/>
      <c r="I132" s="21"/>
      <c r="J132" s="21"/>
      <c r="K132" s="21"/>
      <c r="L132" s="21"/>
      <c r="M132" s="15"/>
      <c r="N132" s="42"/>
      <c r="O132" s="86">
        <f t="shared" si="34"/>
        <v>0.0006070056029730348</v>
      </c>
      <c r="P132" s="86">
        <f t="shared" si="34"/>
        <v>0.466897345179125</v>
      </c>
      <c r="Q132" s="86">
        <f t="shared" si="34"/>
        <v>66.80741620864434</v>
      </c>
      <c r="R132" s="86">
        <f t="shared" si="34"/>
        <v>3515.9334499230895</v>
      </c>
      <c r="S132" s="86">
        <f t="shared" si="34"/>
        <v>95261.26016362476</v>
      </c>
      <c r="T132" s="86">
        <f t="shared" si="34"/>
        <v>1608190.456567414</v>
      </c>
      <c r="U132" s="87">
        <f t="shared" si="34"/>
        <v>19050277.72532253</v>
      </c>
      <c r="V132" s="15"/>
      <c r="W132" s="96">
        <f t="shared" si="21"/>
        <v>6087.2559309339595</v>
      </c>
      <c r="X132" s="97">
        <f t="shared" si="22"/>
        <v>106298.23575238486</v>
      </c>
      <c r="Y132" s="98">
        <f t="shared" si="23"/>
        <v>5468.702819526153</v>
      </c>
      <c r="Z132" s="97">
        <f t="shared" si="24"/>
        <v>96016.33716114568</v>
      </c>
      <c r="AA132" s="98">
        <f t="shared" si="25"/>
        <v>5426.056571647596</v>
      </c>
      <c r="AB132" s="98">
        <f t="shared" si="26"/>
        <v>95305.34997035546</v>
      </c>
      <c r="AC132" s="91"/>
      <c r="AD132" s="92">
        <f t="shared" si="27"/>
        <v>5425.849041772807</v>
      </c>
    </row>
    <row r="133" spans="1:30" ht="11.25">
      <c r="A133" s="15"/>
      <c r="B133" s="93">
        <f>IF(C133&gt;$K$1,0,'Ranges and Data'!$A$10)</f>
        <v>535.2234266961229</v>
      </c>
      <c r="C133" s="94">
        <f t="shared" si="28"/>
        <v>34848.66666666657</v>
      </c>
      <c r="D133" s="85">
        <f t="shared" si="20"/>
        <v>19.66666666666693</v>
      </c>
      <c r="E133" s="15"/>
      <c r="F133" s="21"/>
      <c r="G133" s="21"/>
      <c r="H133" s="21"/>
      <c r="I133" s="21"/>
      <c r="J133" s="21"/>
      <c r="K133" s="21"/>
      <c r="L133" s="21"/>
      <c r="M133" s="15"/>
      <c r="N133" s="42"/>
      <c r="O133" s="86">
        <f t="shared" si="34"/>
        <v>0.0006431000344192389</v>
      </c>
      <c r="P133" s="86">
        <f t="shared" si="34"/>
        <v>0.4809831930911135</v>
      </c>
      <c r="Q133" s="86">
        <f t="shared" si="34"/>
        <v>67.39657081034903</v>
      </c>
      <c r="R133" s="86">
        <f t="shared" si="34"/>
        <v>3488.118701564133</v>
      </c>
      <c r="S133" s="86">
        <f t="shared" si="34"/>
        <v>93201.10103062289</v>
      </c>
      <c r="T133" s="86">
        <f t="shared" si="34"/>
        <v>1554759.463591498</v>
      </c>
      <c r="U133" s="87">
        <f t="shared" si="34"/>
        <v>18226246.29375308</v>
      </c>
      <c r="V133" s="15"/>
      <c r="W133" s="96">
        <f t="shared" si="21"/>
        <v>6025.128926253292</v>
      </c>
      <c r="X133" s="97">
        <f t="shared" si="22"/>
        <v>104769.40956349809</v>
      </c>
      <c r="Y133" s="98">
        <f t="shared" si="23"/>
        <v>5415.336724540333</v>
      </c>
      <c r="Z133" s="97">
        <f t="shared" si="24"/>
        <v>94678.18721531276</v>
      </c>
      <c r="AA133" s="98">
        <f t="shared" si="25"/>
        <v>5373.2841305569</v>
      </c>
      <c r="AB133" s="98">
        <f t="shared" si="26"/>
        <v>93980.21322294594</v>
      </c>
      <c r="AC133" s="91"/>
      <c r="AD133" s="92">
        <f t="shared" si="27"/>
        <v>5373.079486185281</v>
      </c>
    </row>
    <row r="134" spans="1:30" ht="11.25">
      <c r="A134" s="15"/>
      <c r="B134" s="93">
        <f>IF(C134&gt;$K$1,0,'Ranges and Data'!$A$10)</f>
        <v>535.2234266961229</v>
      </c>
      <c r="C134" s="94">
        <f t="shared" si="28"/>
        <v>34879.083333333234</v>
      </c>
      <c r="D134" s="85">
        <f t="shared" si="20"/>
        <v>19.583333333333606</v>
      </c>
      <c r="E134" s="15"/>
      <c r="F134" s="21"/>
      <c r="G134" s="21"/>
      <c r="H134" s="21"/>
      <c r="I134" s="21"/>
      <c r="J134" s="21"/>
      <c r="K134" s="21"/>
      <c r="L134" s="21"/>
      <c r="M134" s="15"/>
      <c r="N134" s="42"/>
      <c r="O134" s="86">
        <f t="shared" si="34"/>
        <v>0.0006813407524483727</v>
      </c>
      <c r="P134" s="86">
        <f t="shared" si="34"/>
        <v>0.4954939976096197</v>
      </c>
      <c r="Q134" s="86">
        <f t="shared" si="34"/>
        <v>67.99092099009592</v>
      </c>
      <c r="R134" s="86">
        <f t="shared" si="34"/>
        <v>3460.5239972524537</v>
      </c>
      <c r="S134" s="86">
        <f t="shared" si="34"/>
        <v>91185.49574507179</v>
      </c>
      <c r="T134" s="86">
        <f t="shared" si="34"/>
        <v>1503103.67764951</v>
      </c>
      <c r="U134" s="87">
        <f t="shared" si="34"/>
        <v>17437858.846486907</v>
      </c>
      <c r="V134" s="15"/>
      <c r="W134" s="96">
        <f t="shared" si="21"/>
        <v>5963.635994585882</v>
      </c>
      <c r="X134" s="97">
        <f t="shared" si="22"/>
        <v>103260.71756024918</v>
      </c>
      <c r="Y134" s="98">
        <f t="shared" si="23"/>
        <v>5362.491400235974</v>
      </c>
      <c r="Z134" s="97">
        <f t="shared" si="24"/>
        <v>93357.01043184714</v>
      </c>
      <c r="AA134" s="98">
        <f t="shared" si="25"/>
        <v>5321.024940756881</v>
      </c>
      <c r="AB134" s="98">
        <f t="shared" si="26"/>
        <v>92671.83741541945</v>
      </c>
      <c r="AC134" s="91"/>
      <c r="AD134" s="92">
        <f t="shared" si="27"/>
        <v>5320.8231453915105</v>
      </c>
    </row>
    <row r="135" spans="1:30" ht="11.25">
      <c r="A135" s="15"/>
      <c r="B135" s="93">
        <f>IF(C135&gt;$K$1,0,'Ranges and Data'!$A$10)</f>
        <v>535.2234266961229</v>
      </c>
      <c r="C135" s="94">
        <f t="shared" si="28"/>
        <v>34909.4999999999</v>
      </c>
      <c r="D135" s="85">
        <f t="shared" si="20"/>
        <v>19.50000000000028</v>
      </c>
      <c r="E135" s="15"/>
      <c r="F135" s="21"/>
      <c r="G135" s="21"/>
      <c r="H135" s="21"/>
      <c r="I135" s="21"/>
      <c r="J135" s="21"/>
      <c r="K135" s="21"/>
      <c r="L135" s="21"/>
      <c r="M135" s="15"/>
      <c r="N135" s="42"/>
      <c r="O135" s="86">
        <f t="shared" si="34"/>
        <v>0.0007218553819020385</v>
      </c>
      <c r="P135" s="86">
        <f t="shared" si="34"/>
        <v>0.5104425792704436</v>
      </c>
      <c r="Q135" s="86">
        <f t="shared" si="34"/>
        <v>68.5905125661322</v>
      </c>
      <c r="R135" s="86">
        <f t="shared" si="34"/>
        <v>3433.147596207147</v>
      </c>
      <c r="S135" s="86">
        <f t="shared" si="34"/>
        <v>89213.48076716959</v>
      </c>
      <c r="T135" s="86">
        <f t="shared" si="34"/>
        <v>1453164.1187405598</v>
      </c>
      <c r="U135" s="87">
        <f t="shared" si="34"/>
        <v>16683573.581150563</v>
      </c>
      <c r="V135" s="15"/>
      <c r="W135" s="96">
        <f t="shared" si="21"/>
        <v>5902.770664533536</v>
      </c>
      <c r="X135" s="97">
        <f t="shared" si="22"/>
        <v>101771.90800920036</v>
      </c>
      <c r="Y135" s="98">
        <f t="shared" si="23"/>
        <v>5310.16176469538</v>
      </c>
      <c r="Z135" s="97">
        <f t="shared" si="24"/>
        <v>92052.60297565893</v>
      </c>
      <c r="AA135" s="98">
        <f t="shared" si="25"/>
        <v>5269.2740104965005</v>
      </c>
      <c r="AB135" s="98">
        <f t="shared" si="26"/>
        <v>91380.02186736192</v>
      </c>
      <c r="AC135" s="91"/>
      <c r="AD135" s="92">
        <f t="shared" si="27"/>
        <v>5269.0750280774355</v>
      </c>
    </row>
    <row r="136" spans="1:30" ht="11.25">
      <c r="A136" s="15"/>
      <c r="B136" s="93">
        <f>IF(C136&gt;$K$1,0,'Ranges and Data'!$A$10)</f>
        <v>535.2234266961229</v>
      </c>
      <c r="C136" s="94">
        <f t="shared" si="28"/>
        <v>34939.91666666656</v>
      </c>
      <c r="D136" s="85">
        <f t="shared" si="20"/>
        <v>19.416666666666952</v>
      </c>
      <c r="E136" s="15"/>
      <c r="F136" s="21"/>
      <c r="G136" s="21"/>
      <c r="H136" s="21"/>
      <c r="I136" s="21"/>
      <c r="J136" s="21"/>
      <c r="K136" s="21"/>
      <c r="L136" s="21"/>
      <c r="M136" s="15"/>
      <c r="N136" s="42"/>
      <c r="O136" s="86">
        <f t="shared" si="34"/>
        <v>0.000764779136589842</v>
      </c>
      <c r="P136" s="86">
        <f t="shared" si="34"/>
        <v>0.5258421453927316</v>
      </c>
      <c r="Q136" s="86">
        <f t="shared" si="34"/>
        <v>69.19539176076259</v>
      </c>
      <c r="R136" s="86">
        <f t="shared" si="34"/>
        <v>3405.9877714187264</v>
      </c>
      <c r="S136" s="86">
        <f t="shared" si="34"/>
        <v>87284.11339502188</v>
      </c>
      <c r="T136" s="86">
        <f t="shared" si="34"/>
        <v>1404883.7664326578</v>
      </c>
      <c r="U136" s="87">
        <f t="shared" si="34"/>
        <v>15961915.386976521</v>
      </c>
      <c r="V136" s="15"/>
      <c r="W136" s="96">
        <f t="shared" si="21"/>
        <v>5842.526530745634</v>
      </c>
      <c r="X136" s="97">
        <f t="shared" si="22"/>
        <v>100302.73221807786</v>
      </c>
      <c r="Y136" s="98">
        <f t="shared" si="23"/>
        <v>5258.342785592515</v>
      </c>
      <c r="Z136" s="97">
        <f t="shared" si="24"/>
        <v>90764.7633735784</v>
      </c>
      <c r="AA136" s="98">
        <f t="shared" si="25"/>
        <v>5218.026396573222</v>
      </c>
      <c r="AB136" s="98">
        <f t="shared" si="26"/>
        <v>90104.56821647311</v>
      </c>
      <c r="AC136" s="91"/>
      <c r="AD136" s="92">
        <f t="shared" si="27"/>
        <v>5217.830191472447</v>
      </c>
    </row>
    <row r="137" spans="1:30" ht="11.25">
      <c r="A137" s="15"/>
      <c r="B137" s="93">
        <f>IF(C137&gt;$K$1,0,'Ranges and Data'!$A$10)</f>
        <v>535.2234266961229</v>
      </c>
      <c r="C137" s="94">
        <f t="shared" si="28"/>
        <v>34970.33333333323</v>
      </c>
      <c r="D137" s="85">
        <f aca="true" t="shared" si="35" ref="D137:D200">IF(B137&lt;&gt;0,$K$1-C137,0)/365</f>
        <v>19.333333333333627</v>
      </c>
      <c r="E137" s="15"/>
      <c r="F137" s="21"/>
      <c r="G137" s="21"/>
      <c r="H137" s="21"/>
      <c r="I137" s="21"/>
      <c r="J137" s="21"/>
      <c r="K137" s="21"/>
      <c r="L137" s="21"/>
      <c r="M137" s="15"/>
      <c r="N137" s="42"/>
      <c r="O137" s="86">
        <f t="shared" si="34"/>
        <v>0.0008102552705528999</v>
      </c>
      <c r="P137" s="86">
        <f t="shared" si="34"/>
        <v>0.5417063017478588</v>
      </c>
      <c r="Q137" s="86">
        <f t="shared" si="34"/>
        <v>69.80560520391228</v>
      </c>
      <c r="R137" s="86">
        <f t="shared" si="34"/>
        <v>3379.0428095401785</v>
      </c>
      <c r="S137" s="86">
        <f t="shared" si="34"/>
        <v>85396.47131399279</v>
      </c>
      <c r="T137" s="86">
        <f t="shared" si="34"/>
        <v>1358207.494757436</v>
      </c>
      <c r="U137" s="87">
        <f t="shared" si="34"/>
        <v>15271472.960017208</v>
      </c>
      <c r="V137" s="15"/>
      <c r="W137" s="96">
        <f aca="true" t="shared" si="36" ref="W137:W200">$B137*I$3^$D137</f>
        <v>5782.897253245081</v>
      </c>
      <c r="X137" s="97">
        <f aca="true" t="shared" si="37" ref="X137:X200">W137*$D137/I$3</f>
        <v>98852.9444999174</v>
      </c>
      <c r="Y137" s="98">
        <f aca="true" t="shared" si="38" ref="Y137:Y200">$B137*I$4^$D137</f>
        <v>5207.029479709083</v>
      </c>
      <c r="Z137" s="97">
        <f aca="true" t="shared" si="39" ref="Z137:Z200">Y137*$D137/I$4</f>
        <v>89493.29248766962</v>
      </c>
      <c r="AA137" s="98">
        <f aca="true" t="shared" si="40" ref="AA137:AA200">$B137*I$5^$D137</f>
        <v>5167.277203860838</v>
      </c>
      <c r="AB137" s="98">
        <f aca="true" t="shared" si="41" ref="AB137:AB200">AA137*$D137/I$5</f>
        <v>88845.28039245834</v>
      </c>
      <c r="AC137" s="91"/>
      <c r="AD137" s="92">
        <f aca="true" t="shared" si="42" ref="AD137:AD200">$B137*(1+$D$7)^$D137</f>
        <v>5167.0837408772795</v>
      </c>
    </row>
    <row r="138" spans="1:30" ht="11.25">
      <c r="A138" s="15"/>
      <c r="B138" s="93">
        <f>IF(C138&gt;$K$1,0,'Ranges and Data'!$A$10)</f>
        <v>535.2234266961229</v>
      </c>
      <c r="C138" s="94">
        <f aca="true" t="shared" si="43" ref="C138:C201">C137+(365/12)</f>
        <v>35000.74999999989</v>
      </c>
      <c r="D138" s="85">
        <f t="shared" si="35"/>
        <v>19.2500000000003</v>
      </c>
      <c r="E138" s="15"/>
      <c r="F138" s="21"/>
      <c r="G138" s="21"/>
      <c r="H138" s="21"/>
      <c r="I138" s="21"/>
      <c r="J138" s="21"/>
      <c r="K138" s="21"/>
      <c r="L138" s="21"/>
      <c r="M138" s="15"/>
      <c r="N138" s="42"/>
      <c r="O138" s="86">
        <f t="shared" si="34"/>
        <v>0.0008584355561609004</v>
      </c>
      <c r="P138" s="86">
        <f t="shared" si="34"/>
        <v>0.5580490645803583</v>
      </c>
      <c r="Q138" s="86">
        <f t="shared" si="34"/>
        <v>70.42119993672199</v>
      </c>
      <c r="R138" s="86">
        <f t="shared" si="34"/>
        <v>3352.31101077887</v>
      </c>
      <c r="S138" s="86">
        <f t="shared" si="34"/>
        <v>83549.65215580122</v>
      </c>
      <c r="T138" s="86">
        <f t="shared" si="34"/>
        <v>1313082.0092679136</v>
      </c>
      <c r="U138" s="87">
        <f t="shared" si="34"/>
        <v>14610896.04314163</v>
      </c>
      <c r="V138" s="15"/>
      <c r="W138" s="96">
        <f t="shared" si="36"/>
        <v>5723.876556761064</v>
      </c>
      <c r="X138" s="97">
        <f t="shared" si="37"/>
        <v>97422.30213762351</v>
      </c>
      <c r="Y138" s="98">
        <f t="shared" si="38"/>
        <v>5156.216912455301</v>
      </c>
      <c r="Z138" s="97">
        <f t="shared" si="39"/>
        <v>88237.99348883936</v>
      </c>
      <c r="AA138" s="98">
        <f t="shared" si="40"/>
        <v>5117.0215848418775</v>
      </c>
      <c r="AB138" s="98">
        <f t="shared" si="41"/>
        <v>87601.96459120826</v>
      </c>
      <c r="AC138" s="91"/>
      <c r="AD138" s="92">
        <f t="shared" si="42"/>
        <v>5116.830829196468</v>
      </c>
    </row>
    <row r="139" spans="1:30" ht="11.25">
      <c r="A139" s="15"/>
      <c r="B139" s="93">
        <f>IF(C139&gt;$K$1,0,'Ranges and Data'!$A$10)</f>
        <v>535.2234266961229</v>
      </c>
      <c r="C139" s="94">
        <f t="shared" si="43"/>
        <v>35031.166666666555</v>
      </c>
      <c r="D139" s="85">
        <f t="shared" si="35"/>
        <v>19.166666666666973</v>
      </c>
      <c r="E139" s="15"/>
      <c r="F139" s="21"/>
      <c r="G139" s="21"/>
      <c r="H139" s="21"/>
      <c r="I139" s="21"/>
      <c r="J139" s="21"/>
      <c r="K139" s="21"/>
      <c r="L139" s="21"/>
      <c r="M139" s="15"/>
      <c r="N139" s="42"/>
      <c r="O139" s="86">
        <f aca="true" t="shared" si="44" ref="O139:U148">$B139*O$7^$D139</f>
        <v>0.0009094807906382654</v>
      </c>
      <c r="P139" s="86">
        <f t="shared" si="44"/>
        <v>0.5748848729914993</v>
      </c>
      <c r="Q139" s="86">
        <f t="shared" si="44"/>
        <v>71.042223415174</v>
      </c>
      <c r="R139" s="86">
        <f t="shared" si="44"/>
        <v>3325.790688789325</v>
      </c>
      <c r="S139" s="86">
        <f t="shared" si="44"/>
        <v>81742.77306715336</v>
      </c>
      <c r="T139" s="86">
        <f t="shared" si="44"/>
        <v>1269455.7861875053</v>
      </c>
      <c r="U139" s="87">
        <f t="shared" si="44"/>
        <v>13978892.78541807</v>
      </c>
      <c r="V139" s="15"/>
      <c r="W139" s="96">
        <f t="shared" si="36"/>
        <v>5665.458230068684</v>
      </c>
      <c r="X139" s="97">
        <f t="shared" si="37"/>
        <v>96010.56534894033</v>
      </c>
      <c r="Y139" s="98">
        <f t="shared" si="38"/>
        <v>5105.900197395365</v>
      </c>
      <c r="Z139" s="97">
        <f t="shared" si="39"/>
        <v>86998.67183073927</v>
      </c>
      <c r="AA139" s="98">
        <f t="shared" si="40"/>
        <v>5067.2547391446005</v>
      </c>
      <c r="AB139" s="98">
        <f t="shared" si="41"/>
        <v>86374.42924926506</v>
      </c>
      <c r="AC139" s="91"/>
      <c r="AD139" s="92">
        <f t="shared" si="42"/>
        <v>5067.0666564753965</v>
      </c>
    </row>
    <row r="140" spans="1:30" ht="11.25">
      <c r="A140" s="15"/>
      <c r="B140" s="93">
        <f>IF(C140&gt;$K$1,0,'Ranges and Data'!$A$10)</f>
        <v>535.2234266961229</v>
      </c>
      <c r="C140" s="94">
        <f t="shared" si="43"/>
        <v>35061.58333333322</v>
      </c>
      <c r="D140" s="85">
        <f t="shared" si="35"/>
        <v>19.083333333333645</v>
      </c>
      <c r="E140" s="15"/>
      <c r="F140" s="21"/>
      <c r="G140" s="21"/>
      <c r="H140" s="21"/>
      <c r="I140" s="21"/>
      <c r="J140" s="21"/>
      <c r="K140" s="21"/>
      <c r="L140" s="21"/>
      <c r="M140" s="15"/>
      <c r="N140" s="42"/>
      <c r="O140" s="86">
        <f t="shared" si="44"/>
        <v>0.0009635613327099518</v>
      </c>
      <c r="P140" s="86">
        <f t="shared" si="44"/>
        <v>0.592228601696477</v>
      </c>
      <c r="Q140" s="86">
        <f t="shared" si="44"/>
        <v>71.66872351375092</v>
      </c>
      <c r="R140" s="86">
        <f t="shared" si="44"/>
        <v>3299.480170566844</v>
      </c>
      <c r="S140" s="86">
        <f t="shared" si="44"/>
        <v>79974.97028770305</v>
      </c>
      <c r="T140" s="86">
        <f t="shared" si="44"/>
        <v>1227279.0135807358</v>
      </c>
      <c r="U140" s="87">
        <f t="shared" si="44"/>
        <v>13374227.215718126</v>
      </c>
      <c r="V140" s="15"/>
      <c r="W140" s="96">
        <f t="shared" si="36"/>
        <v>5607.636125335263</v>
      </c>
      <c r="X140" s="97">
        <f t="shared" si="37"/>
        <v>94617.49725182701</v>
      </c>
      <c r="Y140" s="98">
        <f t="shared" si="38"/>
        <v>5056.074495777528</v>
      </c>
      <c r="Z140" s="97">
        <f t="shared" si="39"/>
        <v>85775.13522395694</v>
      </c>
      <c r="AA140" s="98">
        <f t="shared" si="40"/>
        <v>5017.971913084449</v>
      </c>
      <c r="AB140" s="98">
        <f t="shared" si="41"/>
        <v>85162.48501856992</v>
      </c>
      <c r="AC140" s="91"/>
      <c r="AD140" s="92">
        <f t="shared" si="42"/>
        <v>5017.786469441809</v>
      </c>
    </row>
    <row r="141" spans="1:30" ht="11.25">
      <c r="A141" s="15"/>
      <c r="B141" s="93">
        <f>IF(C141&gt;$K$1,0,'Ranges and Data'!$A$10)</f>
        <v>535.2234266961229</v>
      </c>
      <c r="C141" s="94">
        <f t="shared" si="43"/>
        <v>35091.99999999988</v>
      </c>
      <c r="D141" s="85">
        <f t="shared" si="35"/>
        <v>19.00000000000032</v>
      </c>
      <c r="E141" s="15"/>
      <c r="F141" s="21"/>
      <c r="G141" s="21"/>
      <c r="H141" s="21"/>
      <c r="I141" s="21"/>
      <c r="J141" s="21"/>
      <c r="K141" s="21"/>
      <c r="L141" s="21"/>
      <c r="M141" s="15"/>
      <c r="N141" s="42"/>
      <c r="O141" s="86">
        <f t="shared" si="44"/>
        <v>0.0010208576711578448</v>
      </c>
      <c r="P141" s="86">
        <f t="shared" si="44"/>
        <v>0.610095574166465</v>
      </c>
      <c r="Q141" s="86">
        <f t="shared" si="44"/>
        <v>72.30074852912585</v>
      </c>
      <c r="R141" s="86">
        <f t="shared" si="44"/>
        <v>3273.3777963419598</v>
      </c>
      <c r="S141" s="86">
        <f t="shared" si="44"/>
        <v>78245.39873714032</v>
      </c>
      <c r="T141" s="86">
        <f t="shared" si="44"/>
        <v>1186503.5344785373</v>
      </c>
      <c r="U141" s="87">
        <f t="shared" si="44"/>
        <v>12795716.825601688</v>
      </c>
      <c r="V141" s="15"/>
      <c r="W141" s="96">
        <f t="shared" si="36"/>
        <v>5550.4041574733965</v>
      </c>
      <c r="X141" s="97">
        <f t="shared" si="37"/>
        <v>93242.86383023545</v>
      </c>
      <c r="Y141" s="98">
        <f t="shared" si="38"/>
        <v>5006.735016068807</v>
      </c>
      <c r="Z141" s="97">
        <f t="shared" si="39"/>
        <v>84567.1936104942</v>
      </c>
      <c r="AA141" s="98">
        <f t="shared" si="40"/>
        <v>4969.168399209989</v>
      </c>
      <c r="AB141" s="98">
        <f t="shared" si="41"/>
        <v>83965.94474149047</v>
      </c>
      <c r="AC141" s="91"/>
      <c r="AD141" s="92">
        <f t="shared" si="42"/>
        <v>4968.985561051806</v>
      </c>
    </row>
    <row r="142" spans="1:30" ht="11.25">
      <c r="A142" s="15"/>
      <c r="B142" s="93">
        <f>IF(C142&gt;$K$1,0,'Ranges and Data'!$A$10)</f>
        <v>535.2234266961229</v>
      </c>
      <c r="C142" s="94">
        <f t="shared" si="43"/>
        <v>35122.41666666655</v>
      </c>
      <c r="D142" s="85">
        <f t="shared" si="35"/>
        <v>18.91666666666699</v>
      </c>
      <c r="E142" s="15"/>
      <c r="F142" s="21"/>
      <c r="G142" s="21"/>
      <c r="H142" s="21"/>
      <c r="I142" s="21"/>
      <c r="J142" s="21"/>
      <c r="K142" s="21"/>
      <c r="L142" s="21"/>
      <c r="M142" s="15"/>
      <c r="N142" s="42"/>
      <c r="O142" s="86">
        <f t="shared" si="44"/>
        <v>0.0010815610271853106</v>
      </c>
      <c r="P142" s="86">
        <f t="shared" si="44"/>
        <v>0.6285015761671598</v>
      </c>
      <c r="Q142" s="86">
        <f t="shared" si="44"/>
        <v>72.93834718388592</v>
      </c>
      <c r="R142" s="86">
        <f t="shared" si="44"/>
        <v>3247.4819194757365</v>
      </c>
      <c r="S142" s="86">
        <f t="shared" si="44"/>
        <v>76553.23161120884</v>
      </c>
      <c r="T142" s="86">
        <f t="shared" si="44"/>
        <v>1147082.791893149</v>
      </c>
      <c r="U142" s="87">
        <f t="shared" si="44"/>
        <v>12242230.256755369</v>
      </c>
      <c r="V142" s="15"/>
      <c r="W142" s="96">
        <f t="shared" si="36"/>
        <v>5493.75630350054</v>
      </c>
      <c r="X142" s="97">
        <f t="shared" si="37"/>
        <v>91886.43390028323</v>
      </c>
      <c r="Y142" s="98">
        <f t="shared" si="38"/>
        <v>4957.877013494165</v>
      </c>
      <c r="Z142" s="97">
        <f t="shared" si="39"/>
        <v>83374.65913852734</v>
      </c>
      <c r="AA142" s="98">
        <f t="shared" si="40"/>
        <v>4920.839535853255</v>
      </c>
      <c r="AB142" s="98">
        <f t="shared" si="41"/>
        <v>82784.62342612402</v>
      </c>
      <c r="AC142" s="91"/>
      <c r="AD142" s="92">
        <f t="shared" si="42"/>
        <v>4920.659270040241</v>
      </c>
    </row>
    <row r="143" spans="1:30" ht="11.25">
      <c r="A143" s="15"/>
      <c r="B143" s="93">
        <f>IF(C143&gt;$K$1,0,'Ranges and Data'!$A$10)</f>
        <v>535.2234266961229</v>
      </c>
      <c r="C143" s="94">
        <f t="shared" si="43"/>
        <v>35152.83333333321</v>
      </c>
      <c r="D143" s="85">
        <f t="shared" si="35"/>
        <v>18.833333333333666</v>
      </c>
      <c r="E143" s="15"/>
      <c r="F143" s="21"/>
      <c r="G143" s="21"/>
      <c r="H143" s="21"/>
      <c r="I143" s="21"/>
      <c r="J143" s="21"/>
      <c r="K143" s="21"/>
      <c r="L143" s="21"/>
      <c r="M143" s="15"/>
      <c r="N143" s="42"/>
      <c r="O143" s="86">
        <f t="shared" si="44"/>
        <v>0.001145873992600161</v>
      </c>
      <c r="P143" s="86">
        <f t="shared" si="44"/>
        <v>0.6474628697057618</v>
      </c>
      <c r="Q143" s="86">
        <f t="shared" si="44"/>
        <v>73.58156863028816</v>
      </c>
      <c r="R143" s="86">
        <f t="shared" si="44"/>
        <v>3221.790906355892</v>
      </c>
      <c r="S143" s="86">
        <f t="shared" si="44"/>
        <v>74897.65998646084</v>
      </c>
      <c r="T143" s="86">
        <f t="shared" si="44"/>
        <v>1108971.775659876</v>
      </c>
      <c r="U143" s="87">
        <f t="shared" si="44"/>
        <v>11712685.088462757</v>
      </c>
      <c r="V143" s="15"/>
      <c r="W143" s="96">
        <f t="shared" si="36"/>
        <v>5437.6866019051895</v>
      </c>
      <c r="X143" s="97">
        <f t="shared" si="37"/>
        <v>90547.97907681952</v>
      </c>
      <c r="Y143" s="98">
        <f t="shared" si="38"/>
        <v>4909.495789580252</v>
      </c>
      <c r="Z143" s="97">
        <f t="shared" si="39"/>
        <v>82197.34613744874</v>
      </c>
      <c r="AA143" s="98">
        <f t="shared" si="40"/>
        <v>4872.980706684482</v>
      </c>
      <c r="AB143" s="98">
        <f t="shared" si="41"/>
        <v>81618.33822187444</v>
      </c>
      <c r="AC143" s="91"/>
      <c r="AD143" s="92">
        <f t="shared" si="42"/>
        <v>4872.802980475501</v>
      </c>
    </row>
    <row r="144" spans="1:30" ht="11.25">
      <c r="A144" s="15"/>
      <c r="B144" s="93">
        <f>IF(C144&gt;$K$1,0,'Ranges and Data'!$A$10)</f>
        <v>535.2234266961229</v>
      </c>
      <c r="C144" s="94">
        <f t="shared" si="43"/>
        <v>35183.249999999876</v>
      </c>
      <c r="D144" s="85">
        <f t="shared" si="35"/>
        <v>18.750000000000338</v>
      </c>
      <c r="E144" s="15"/>
      <c r="F144" s="21"/>
      <c r="G144" s="21"/>
      <c r="H144" s="21"/>
      <c r="I144" s="21"/>
      <c r="J144" s="21"/>
      <c r="K144" s="21"/>
      <c r="L144" s="21"/>
      <c r="M144" s="15"/>
      <c r="N144" s="42"/>
      <c r="O144" s="86">
        <f t="shared" si="44"/>
        <v>0.0012140112059460025</v>
      </c>
      <c r="P144" s="86">
        <f t="shared" si="44"/>
        <v>0.6669962073987317</v>
      </c>
      <c r="Q144" s="86">
        <f t="shared" si="44"/>
        <v>74.23046245404863</v>
      </c>
      <c r="R144" s="86">
        <f t="shared" si="44"/>
        <v>3196.3031362937413</v>
      </c>
      <c r="S144" s="86">
        <f t="shared" si="44"/>
        <v>73277.89243355906</v>
      </c>
      <c r="T144" s="86">
        <f t="shared" si="44"/>
        <v>1072126.9710449767</v>
      </c>
      <c r="U144" s="87">
        <f t="shared" si="44"/>
        <v>11206045.720778437</v>
      </c>
      <c r="V144" s="15"/>
      <c r="W144" s="96">
        <f t="shared" si="36"/>
        <v>5382.189152019468</v>
      </c>
      <c r="X144" s="97">
        <f t="shared" si="37"/>
        <v>89227.2737403774</v>
      </c>
      <c r="Y144" s="98">
        <f t="shared" si="38"/>
        <v>4861.586691703559</v>
      </c>
      <c r="Z144" s="97">
        <f t="shared" si="39"/>
        <v>81035.07109318457</v>
      </c>
      <c r="AA144" s="98">
        <f t="shared" si="40"/>
        <v>4825.587340271144</v>
      </c>
      <c r="AB144" s="98">
        <f t="shared" si="41"/>
        <v>80466.9083952986</v>
      </c>
      <c r="AC144" s="91"/>
      <c r="AD144" s="92">
        <f t="shared" si="42"/>
        <v>4825.412121318601</v>
      </c>
    </row>
    <row r="145" spans="1:30" ht="11.25">
      <c r="A145" s="15"/>
      <c r="B145" s="93">
        <f>IF(C145&gt;$K$1,0,'Ranges and Data'!$A$10)</f>
        <v>535.2234266961229</v>
      </c>
      <c r="C145" s="94">
        <f t="shared" si="43"/>
        <v>35213.66666666654</v>
      </c>
      <c r="D145" s="85">
        <f t="shared" si="35"/>
        <v>18.666666666667012</v>
      </c>
      <c r="E145" s="15"/>
      <c r="F145" s="21"/>
      <c r="G145" s="21"/>
      <c r="H145" s="21"/>
      <c r="I145" s="21"/>
      <c r="J145" s="21"/>
      <c r="K145" s="21"/>
      <c r="L145" s="21"/>
      <c r="M145" s="15"/>
      <c r="N145" s="42"/>
      <c r="O145" s="86">
        <f t="shared" si="44"/>
        <v>0.001286200068838405</v>
      </c>
      <c r="P145" s="86">
        <f t="shared" si="44"/>
        <v>0.6871188472729992</v>
      </c>
      <c r="Q145" s="86">
        <f t="shared" si="44"/>
        <v>74.88507867816494</v>
      </c>
      <c r="R145" s="86">
        <f t="shared" si="44"/>
        <v>3171.017001421964</v>
      </c>
      <c r="S145" s="86">
        <f t="shared" si="44"/>
        <v>71693.1546389422</v>
      </c>
      <c r="T145" s="86">
        <f t="shared" si="44"/>
        <v>1036506.3090610334</v>
      </c>
      <c r="U145" s="87">
        <f t="shared" si="44"/>
        <v>10721321.349266978</v>
      </c>
      <c r="V145" s="15"/>
      <c r="W145" s="96">
        <f t="shared" si="36"/>
        <v>5327.258113398189</v>
      </c>
      <c r="X145" s="97">
        <f t="shared" si="37"/>
        <v>87924.0950045105</v>
      </c>
      <c r="Y145" s="98">
        <f t="shared" si="38"/>
        <v>4814.145112643003</v>
      </c>
      <c r="Z145" s="97">
        <f t="shared" si="39"/>
        <v>79887.65262378703</v>
      </c>
      <c r="AA145" s="98">
        <f t="shared" si="40"/>
        <v>4778.6549096413</v>
      </c>
      <c r="AB145" s="98">
        <f t="shared" si="41"/>
        <v>79330.15530622071</v>
      </c>
      <c r="AC145" s="91"/>
      <c r="AD145" s="92">
        <f t="shared" si="42"/>
        <v>4778.482165986589</v>
      </c>
    </row>
    <row r="146" spans="1:30" ht="11.25">
      <c r="A146" s="15"/>
      <c r="B146" s="93">
        <f>IF(C146&gt;$K$1,0,'Ranges and Data'!$A$10)</f>
        <v>535.2234266961229</v>
      </c>
      <c r="C146" s="94">
        <f t="shared" si="43"/>
        <v>35244.083333333205</v>
      </c>
      <c r="D146" s="85">
        <f t="shared" si="35"/>
        <v>18.583333333333684</v>
      </c>
      <c r="E146" s="15"/>
      <c r="F146" s="21"/>
      <c r="G146" s="21"/>
      <c r="H146" s="21"/>
      <c r="I146" s="21"/>
      <c r="J146" s="21"/>
      <c r="K146" s="21"/>
      <c r="L146" s="21"/>
      <c r="M146" s="15"/>
      <c r="N146" s="42"/>
      <c r="O146" s="86">
        <f t="shared" si="44"/>
        <v>0.0013626815048966704</v>
      </c>
      <c r="P146" s="86">
        <f t="shared" si="44"/>
        <v>0.707848568013723</v>
      </c>
      <c r="Q146" s="86">
        <f t="shared" si="44"/>
        <v>75.5454677667726</v>
      </c>
      <c r="R146" s="86">
        <f t="shared" si="44"/>
        <v>3145.9309065931625</v>
      </c>
      <c r="S146" s="86">
        <f t="shared" si="44"/>
        <v>70142.68903467202</v>
      </c>
      <c r="T146" s="86">
        <f t="shared" si="44"/>
        <v>1002069.1184330386</v>
      </c>
      <c r="U146" s="87">
        <f t="shared" si="44"/>
        <v>10257564.027345661</v>
      </c>
      <c r="V146" s="15"/>
      <c r="W146" s="96">
        <f t="shared" si="36"/>
        <v>5272.887705204191</v>
      </c>
      <c r="X146" s="97">
        <f t="shared" si="37"/>
        <v>86638.22268350697</v>
      </c>
      <c r="Y146" s="98">
        <f t="shared" si="38"/>
        <v>4767.166490136854</v>
      </c>
      <c r="Z146" s="97">
        <f t="shared" si="39"/>
        <v>78754.91145529717</v>
      </c>
      <c r="AA146" s="98">
        <f t="shared" si="40"/>
        <v>4732.178931851183</v>
      </c>
      <c r="AB146" s="98">
        <f t="shared" si="41"/>
        <v>78207.90238411057</v>
      </c>
      <c r="AC146" s="91"/>
      <c r="AD146" s="92">
        <f t="shared" si="42"/>
        <v>4732.008631920179</v>
      </c>
    </row>
    <row r="147" spans="1:30" ht="11.25">
      <c r="A147" s="15"/>
      <c r="B147" s="93">
        <f>IF(C147&gt;$K$1,0,'Ranges and Data'!$A$10)</f>
        <v>535.2234266961229</v>
      </c>
      <c r="C147" s="94">
        <f t="shared" si="43"/>
        <v>35274.49999999987</v>
      </c>
      <c r="D147" s="85">
        <f t="shared" si="35"/>
        <v>18.50000000000036</v>
      </c>
      <c r="E147" s="15"/>
      <c r="F147" s="21"/>
      <c r="G147" s="21"/>
      <c r="H147" s="21"/>
      <c r="I147" s="21"/>
      <c r="J147" s="21"/>
      <c r="K147" s="21"/>
      <c r="L147" s="21"/>
      <c r="M147" s="15"/>
      <c r="N147" s="42"/>
      <c r="O147" s="86">
        <f t="shared" si="44"/>
        <v>0.0014437107638040003</v>
      </c>
      <c r="P147" s="86">
        <f t="shared" si="44"/>
        <v>0.7292036846720417</v>
      </c>
      <c r="Q147" s="86">
        <f t="shared" si="44"/>
        <v>76.21168062903516</v>
      </c>
      <c r="R147" s="86">
        <f t="shared" si="44"/>
        <v>3121.043269279248</v>
      </c>
      <c r="S147" s="86">
        <f t="shared" si="44"/>
        <v>68625.75443628569</v>
      </c>
      <c r="T147" s="86">
        <f t="shared" si="44"/>
        <v>968776.0791604039</v>
      </c>
      <c r="U147" s="87">
        <f t="shared" si="44"/>
        <v>9813866.81244191</v>
      </c>
      <c r="V147" s="15"/>
      <c r="W147" s="96">
        <f t="shared" si="36"/>
        <v>5219.072205599993</v>
      </c>
      <c r="X147" s="97">
        <f t="shared" si="37"/>
        <v>85369.43926047899</v>
      </c>
      <c r="Y147" s="98">
        <f t="shared" si="38"/>
        <v>4720.646306444022</v>
      </c>
      <c r="Z147" s="97">
        <f t="shared" si="39"/>
        <v>77636.67039787635</v>
      </c>
      <c r="AA147" s="98">
        <f t="shared" si="40"/>
        <v>4686.154967556996</v>
      </c>
      <c r="AB147" s="98">
        <f t="shared" si="41"/>
        <v>77099.9751047237</v>
      </c>
      <c r="AC147" s="91"/>
      <c r="AD147" s="92">
        <f t="shared" si="42"/>
        <v>4685.987080155597</v>
      </c>
    </row>
    <row r="148" spans="1:30" ht="11.25">
      <c r="A148" s="15"/>
      <c r="B148" s="93">
        <f>IF(C148&gt;$K$1,0,'Ranges and Data'!$A$10)</f>
        <v>535.2234266961229</v>
      </c>
      <c r="C148" s="94">
        <f t="shared" si="43"/>
        <v>35304.91666666653</v>
      </c>
      <c r="D148" s="85">
        <f t="shared" si="35"/>
        <v>18.416666666667034</v>
      </c>
      <c r="E148" s="15"/>
      <c r="F148" s="21"/>
      <c r="G148" s="21"/>
      <c r="H148" s="21"/>
      <c r="I148" s="21"/>
      <c r="J148" s="21"/>
      <c r="K148" s="21"/>
      <c r="L148" s="21"/>
      <c r="M148" s="15"/>
      <c r="N148" s="42"/>
      <c r="O148" s="86">
        <f t="shared" si="44"/>
        <v>0.001529558273179597</v>
      </c>
      <c r="P148" s="86">
        <f t="shared" si="44"/>
        <v>0.7512030648467373</v>
      </c>
      <c r="Q148" s="86">
        <f t="shared" si="44"/>
        <v>76.8837686230689</v>
      </c>
      <c r="R148" s="86">
        <f t="shared" si="44"/>
        <v>3096.352519471594</v>
      </c>
      <c r="S148" s="86">
        <f t="shared" si="44"/>
        <v>67141.62568847979</v>
      </c>
      <c r="T148" s="86">
        <f t="shared" si="44"/>
        <v>936589.1776218024</v>
      </c>
      <c r="U148" s="87">
        <f t="shared" si="44"/>
        <v>9389361.992339531</v>
      </c>
      <c r="V148" s="15"/>
      <c r="W148" s="96">
        <f t="shared" si="36"/>
        <v>5165.805951145617</v>
      </c>
      <c r="X148" s="97">
        <f t="shared" si="37"/>
        <v>84117.5298558211</v>
      </c>
      <c r="Y148" s="98">
        <f t="shared" si="38"/>
        <v>4674.580087909593</v>
      </c>
      <c r="Z148" s="97">
        <f t="shared" si="39"/>
        <v>76532.75432220228</v>
      </c>
      <c r="AA148" s="98">
        <f t="shared" si="40"/>
        <v>4640.578620590867</v>
      </c>
      <c r="AB148" s="98">
        <f t="shared" si="41"/>
        <v>76006.20096699966</v>
      </c>
      <c r="AC148" s="91"/>
      <c r="AD148" s="92">
        <f t="shared" si="42"/>
        <v>4640.413114900586</v>
      </c>
    </row>
    <row r="149" spans="1:30" ht="11.25">
      <c r="A149" s="15"/>
      <c r="B149" s="93">
        <f>IF(C149&gt;$K$1,0,'Ranges and Data'!$A$10)</f>
        <v>535.2234266961229</v>
      </c>
      <c r="C149" s="94">
        <f t="shared" si="43"/>
        <v>35335.3333333332</v>
      </c>
      <c r="D149" s="85">
        <f t="shared" si="35"/>
        <v>18.333333333333705</v>
      </c>
      <c r="E149" s="15"/>
      <c r="F149" s="21"/>
      <c r="G149" s="21"/>
      <c r="H149" s="21"/>
      <c r="I149" s="21"/>
      <c r="J149" s="21"/>
      <c r="K149" s="21"/>
      <c r="L149" s="21"/>
      <c r="M149" s="15"/>
      <c r="N149" s="42"/>
      <c r="O149" s="86">
        <f aca="true" t="shared" si="45" ref="O149:U158">$B149*O$7^$D149</f>
        <v>0.0016205105411057107</v>
      </c>
      <c r="P149" s="86">
        <f t="shared" si="45"/>
        <v>0.7738661453540621</v>
      </c>
      <c r="Q149" s="86">
        <f t="shared" si="45"/>
        <v>77.5617835599019</v>
      </c>
      <c r="R149" s="86">
        <f t="shared" si="45"/>
        <v>3071.8570995820032</v>
      </c>
      <c r="S149" s="86">
        <f t="shared" si="45"/>
        <v>65689.59331845732</v>
      </c>
      <c r="T149" s="86">
        <f t="shared" si="45"/>
        <v>905471.6631716527</v>
      </c>
      <c r="U149" s="87">
        <f t="shared" si="45"/>
        <v>8983219.3882458</v>
      </c>
      <c r="V149" s="15"/>
      <c r="W149" s="96">
        <f t="shared" si="36"/>
        <v>5113.083336202596</v>
      </c>
      <c r="X149" s="97">
        <f t="shared" si="37"/>
        <v>82882.2821960355</v>
      </c>
      <c r="Y149" s="98">
        <f t="shared" si="38"/>
        <v>4628.963404534609</v>
      </c>
      <c r="Z149" s="97">
        <f t="shared" si="39"/>
        <v>75442.99013612722</v>
      </c>
      <c r="AA149" s="98">
        <f t="shared" si="40"/>
        <v>4595.44553754092</v>
      </c>
      <c r="AB149" s="98">
        <f t="shared" si="41"/>
        <v>74926.40947021631</v>
      </c>
      <c r="AC149" s="91"/>
      <c r="AD149" s="92">
        <f t="shared" si="42"/>
        <v>4595.282383114539</v>
      </c>
    </row>
    <row r="150" spans="1:30" ht="11.25">
      <c r="A150" s="15"/>
      <c r="B150" s="93">
        <f>IF(C150&gt;$K$1,0,'Ranges and Data'!$A$10)</f>
        <v>535.2234266961229</v>
      </c>
      <c r="C150" s="94">
        <f t="shared" si="43"/>
        <v>35365.74999999986</v>
      </c>
      <c r="D150" s="85">
        <f t="shared" si="35"/>
        <v>18.25000000000038</v>
      </c>
      <c r="E150" s="15"/>
      <c r="F150" s="21"/>
      <c r="G150" s="21"/>
      <c r="H150" s="21"/>
      <c r="I150" s="21"/>
      <c r="J150" s="21"/>
      <c r="K150" s="21"/>
      <c r="L150" s="21"/>
      <c r="M150" s="15"/>
      <c r="N150" s="42"/>
      <c r="O150" s="86">
        <f t="shared" si="45"/>
        <v>0.0017168711123217034</v>
      </c>
      <c r="P150" s="86">
        <f t="shared" si="45"/>
        <v>0.7972129494004886</v>
      </c>
      <c r="Q150" s="86">
        <f t="shared" si="45"/>
        <v>78.2457777074682</v>
      </c>
      <c r="R150" s="86">
        <f t="shared" si="45"/>
        <v>3047.5554643444502</v>
      </c>
      <c r="S150" s="86">
        <f t="shared" si="45"/>
        <v>64268.96319677152</v>
      </c>
      <c r="T150" s="86">
        <f t="shared" si="45"/>
        <v>875388.0061786377</v>
      </c>
      <c r="U150" s="87">
        <f t="shared" si="45"/>
        <v>8594644.731260149</v>
      </c>
      <c r="V150" s="15"/>
      <c r="W150" s="96">
        <f t="shared" si="36"/>
        <v>5060.898812344054</v>
      </c>
      <c r="X150" s="97">
        <f t="shared" si="37"/>
        <v>81663.48658291859</v>
      </c>
      <c r="Y150" s="98">
        <f t="shared" si="38"/>
        <v>4583.791869550068</v>
      </c>
      <c r="Z150" s="97">
        <f t="shared" si="39"/>
        <v>74367.20676159616</v>
      </c>
      <c r="AA150" s="98">
        <f t="shared" si="40"/>
        <v>4550.751407335466</v>
      </c>
      <c r="AB150" s="98">
        <f t="shared" si="41"/>
        <v>73860.43209139752</v>
      </c>
      <c r="AC150" s="91"/>
      <c r="AD150" s="92">
        <f t="shared" si="42"/>
        <v>4550.590574092719</v>
      </c>
    </row>
    <row r="151" spans="1:30" ht="11.25">
      <c r="A151" s="15"/>
      <c r="B151" s="93">
        <f>IF(C151&gt;$K$1,0,'Ranges and Data'!$A$10)</f>
        <v>535.2234266961229</v>
      </c>
      <c r="C151" s="94">
        <f t="shared" si="43"/>
        <v>35396.166666666526</v>
      </c>
      <c r="D151" s="85">
        <f t="shared" si="35"/>
        <v>18.16666666666705</v>
      </c>
      <c r="E151" s="15"/>
      <c r="F151" s="21"/>
      <c r="G151" s="21"/>
      <c r="H151" s="21"/>
      <c r="I151" s="21"/>
      <c r="J151" s="21"/>
      <c r="K151" s="21"/>
      <c r="L151" s="21"/>
      <c r="M151" s="15"/>
      <c r="N151" s="42"/>
      <c r="O151" s="86">
        <f t="shared" si="45"/>
        <v>0.0018189615812764309</v>
      </c>
      <c r="P151" s="86">
        <f t="shared" si="45"/>
        <v>0.8212641042735471</v>
      </c>
      <c r="Q151" s="86">
        <f t="shared" si="45"/>
        <v>78.93580379463717</v>
      </c>
      <c r="R151" s="86">
        <f t="shared" si="45"/>
        <v>3023.4460807175906</v>
      </c>
      <c r="S151" s="86">
        <f t="shared" si="45"/>
        <v>62879.05620550385</v>
      </c>
      <c r="T151" s="86">
        <f t="shared" si="45"/>
        <v>846303.8574583638</v>
      </c>
      <c r="U151" s="87">
        <f t="shared" si="45"/>
        <v>8222878.109069791</v>
      </c>
      <c r="V151" s="15"/>
      <c r="W151" s="96">
        <f t="shared" si="36"/>
        <v>5009.246887770769</v>
      </c>
      <c r="X151" s="97">
        <f t="shared" si="37"/>
        <v>80460.93586310424</v>
      </c>
      <c r="Y151" s="98">
        <f t="shared" si="38"/>
        <v>4539.061138995061</v>
      </c>
      <c r="Z151" s="97">
        <f t="shared" si="39"/>
        <v>73305.23511182083</v>
      </c>
      <c r="AA151" s="98">
        <f t="shared" si="40"/>
        <v>4506.491960831192</v>
      </c>
      <c r="AB151" s="98">
        <f t="shared" si="41"/>
        <v>72808.10226297035</v>
      </c>
      <c r="AC151" s="91"/>
      <c r="AD151" s="92">
        <f t="shared" si="42"/>
        <v>4506.33341905451</v>
      </c>
    </row>
    <row r="152" spans="1:30" ht="11.25">
      <c r="A152" s="15"/>
      <c r="B152" s="93">
        <f>IF(C152&gt;$K$1,0,'Ranges and Data'!$A$10)</f>
        <v>535.2234266961229</v>
      </c>
      <c r="C152" s="94">
        <f t="shared" si="43"/>
        <v>35426.58333333319</v>
      </c>
      <c r="D152" s="85">
        <f t="shared" si="35"/>
        <v>18.083333333333727</v>
      </c>
      <c r="E152" s="15"/>
      <c r="F152" s="21"/>
      <c r="G152" s="21"/>
      <c r="H152" s="21"/>
      <c r="I152" s="21"/>
      <c r="J152" s="21"/>
      <c r="K152" s="21"/>
      <c r="L152" s="21"/>
      <c r="M152" s="15"/>
      <c r="N152" s="42"/>
      <c r="O152" s="86">
        <f t="shared" si="45"/>
        <v>0.001927122665419794</v>
      </c>
      <c r="P152" s="86">
        <f t="shared" si="45"/>
        <v>0.846040859566371</v>
      </c>
      <c r="Q152" s="86">
        <f t="shared" si="45"/>
        <v>79.63191501527812</v>
      </c>
      <c r="R152" s="86">
        <f t="shared" si="45"/>
        <v>2999.5274277880626</v>
      </c>
      <c r="S152" s="86">
        <f t="shared" si="45"/>
        <v>61519.20791361902</v>
      </c>
      <c r="T152" s="86">
        <f t="shared" si="45"/>
        <v>818186.0090538507</v>
      </c>
      <c r="U152" s="87">
        <f t="shared" si="45"/>
        <v>7867192.479834543</v>
      </c>
      <c r="V152" s="15"/>
      <c r="W152" s="96">
        <f t="shared" si="36"/>
        <v>4958.122126733262</v>
      </c>
      <c r="X152" s="97">
        <f t="shared" si="37"/>
        <v>79274.42539796207</v>
      </c>
      <c r="Y152" s="98">
        <f t="shared" si="38"/>
        <v>4494.766911299025</v>
      </c>
      <c r="Z152" s="97">
        <f t="shared" si="39"/>
        <v>72256.9080687077</v>
      </c>
      <c r="AA152" s="98">
        <f t="shared" si="40"/>
        <v>4462.66297040538</v>
      </c>
      <c r="AB152" s="98">
        <f t="shared" si="41"/>
        <v>71769.25535067031</v>
      </c>
      <c r="AC152" s="91"/>
      <c r="AD152" s="92">
        <f t="shared" si="42"/>
        <v>4462.5066907356895</v>
      </c>
    </row>
    <row r="153" spans="1:30" ht="11.25">
      <c r="A153" s="15"/>
      <c r="B153" s="93">
        <f>IF(C153&gt;$K$1,0,'Ranges and Data'!$A$10)</f>
        <v>535.2234266961229</v>
      </c>
      <c r="C153" s="94">
        <f t="shared" si="43"/>
        <v>35456.999999999854</v>
      </c>
      <c r="D153" s="85">
        <f t="shared" si="35"/>
        <v>18.000000000000398</v>
      </c>
      <c r="E153" s="15"/>
      <c r="F153" s="21"/>
      <c r="G153" s="21"/>
      <c r="H153" s="21"/>
      <c r="I153" s="21"/>
      <c r="J153" s="21"/>
      <c r="K153" s="21"/>
      <c r="L153" s="21"/>
      <c r="M153" s="15"/>
      <c r="N153" s="42"/>
      <c r="O153" s="86">
        <f t="shared" si="45"/>
        <v>0.002041715342315581</v>
      </c>
      <c r="P153" s="86">
        <f t="shared" si="45"/>
        <v>0.8715651059520682</v>
      </c>
      <c r="Q153" s="86">
        <f t="shared" si="45"/>
        <v>80.33416503236137</v>
      </c>
      <c r="R153" s="86">
        <f t="shared" si="45"/>
        <v>2975.7979966745306</v>
      </c>
      <c r="S153" s="86">
        <f t="shared" si="45"/>
        <v>60188.76825933993</v>
      </c>
      <c r="T153" s="86">
        <f t="shared" si="45"/>
        <v>791002.35631905</v>
      </c>
      <c r="U153" s="87">
        <f t="shared" si="45"/>
        <v>7526892.2503542425</v>
      </c>
      <c r="V153" s="15"/>
      <c r="W153" s="96">
        <f t="shared" si="36"/>
        <v>4907.5191489597255</v>
      </c>
      <c r="X153" s="97">
        <f t="shared" si="37"/>
        <v>78103.75303384352</v>
      </c>
      <c r="Y153" s="98">
        <f t="shared" si="38"/>
        <v>4450.904926868081</v>
      </c>
      <c r="Z153" s="97">
        <f t="shared" si="39"/>
        <v>71222.06046053668</v>
      </c>
      <c r="AA153" s="98">
        <f t="shared" si="40"/>
        <v>4419.260249552096</v>
      </c>
      <c r="AB153" s="98">
        <f t="shared" si="41"/>
        <v>70743.72863169125</v>
      </c>
      <c r="AC153" s="91"/>
      <c r="AD153" s="92">
        <f t="shared" si="42"/>
        <v>4419.106202984643</v>
      </c>
    </row>
    <row r="154" spans="1:30" ht="11.25">
      <c r="A154" s="15"/>
      <c r="B154" s="93">
        <f>IF(C154&gt;$K$1,0,'Ranges and Data'!$A$10)</f>
        <v>535.2234266961229</v>
      </c>
      <c r="C154" s="94">
        <f t="shared" si="43"/>
        <v>35487.41666666652</v>
      </c>
      <c r="D154" s="85">
        <f t="shared" si="35"/>
        <v>17.916666666667073</v>
      </c>
      <c r="E154" s="15"/>
      <c r="F154" s="21"/>
      <c r="G154" s="21"/>
      <c r="H154" s="21"/>
      <c r="I154" s="21"/>
      <c r="J154" s="21"/>
      <c r="K154" s="21"/>
      <c r="L154" s="21"/>
      <c r="M154" s="15"/>
      <c r="N154" s="42"/>
      <c r="O154" s="86">
        <f t="shared" si="45"/>
        <v>0.002163122054370502</v>
      </c>
      <c r="P154" s="86">
        <f t="shared" si="45"/>
        <v>0.8978593945244878</v>
      </c>
      <c r="Q154" s="86">
        <f t="shared" si="45"/>
        <v>81.04260798209476</v>
      </c>
      <c r="R154" s="86">
        <f t="shared" si="45"/>
        <v>2952.25629043251</v>
      </c>
      <c r="S154" s="86">
        <f t="shared" si="45"/>
        <v>58887.10123939266</v>
      </c>
      <c r="T154" s="86">
        <f t="shared" si="45"/>
        <v>764721.861262125</v>
      </c>
      <c r="U154" s="87">
        <f t="shared" si="45"/>
        <v>7201311.9157387605</v>
      </c>
      <c r="V154" s="15"/>
      <c r="W154" s="96">
        <f t="shared" si="36"/>
        <v>4857.43262908983</v>
      </c>
      <c r="X154" s="97">
        <f t="shared" si="37"/>
        <v>76948.71907267442</v>
      </c>
      <c r="Y154" s="98">
        <f t="shared" si="38"/>
        <v>4407.47096767542</v>
      </c>
      <c r="Z154" s="97">
        <f t="shared" si="39"/>
        <v>70200.52903988863</v>
      </c>
      <c r="AA154" s="98">
        <f t="shared" si="40"/>
        <v>4376.279652482293</v>
      </c>
      <c r="AB154" s="98">
        <f t="shared" si="41"/>
        <v>69731.36127307758</v>
      </c>
      <c r="AC154" s="91"/>
      <c r="AD154" s="92">
        <f t="shared" si="42"/>
        <v>4376.127810362541</v>
      </c>
    </row>
    <row r="155" spans="1:30" ht="11.25">
      <c r="A155" s="15"/>
      <c r="B155" s="93">
        <f>IF(C155&gt;$K$1,0,'Ranges and Data'!$A$10)</f>
        <v>535.2234266961229</v>
      </c>
      <c r="C155" s="94">
        <f t="shared" si="43"/>
        <v>35517.83333333318</v>
      </c>
      <c r="D155" s="85">
        <f t="shared" si="35"/>
        <v>17.833333333333744</v>
      </c>
      <c r="E155" s="15"/>
      <c r="F155" s="21"/>
      <c r="G155" s="21"/>
      <c r="H155" s="21"/>
      <c r="I155" s="21"/>
      <c r="J155" s="21"/>
      <c r="K155" s="21"/>
      <c r="L155" s="21"/>
      <c r="M155" s="15"/>
      <c r="N155" s="42"/>
      <c r="O155" s="86">
        <f t="shared" si="45"/>
        <v>0.0022917479852002003</v>
      </c>
      <c r="P155" s="86">
        <f t="shared" si="45"/>
        <v>0.9249469567224906</v>
      </c>
      <c r="Q155" s="86">
        <f t="shared" si="45"/>
        <v>81.75729847809728</v>
      </c>
      <c r="R155" s="86">
        <f t="shared" si="45"/>
        <v>2928.900823959923</v>
      </c>
      <c r="S155" s="86">
        <f t="shared" si="45"/>
        <v>57613.584604971045</v>
      </c>
      <c r="T155" s="86">
        <f t="shared" si="45"/>
        <v>739314.5171066074</v>
      </c>
      <c r="U155" s="87">
        <f t="shared" si="45"/>
        <v>6889814.757919564</v>
      </c>
      <c r="V155" s="15"/>
      <c r="W155" s="96">
        <f t="shared" si="36"/>
        <v>4807.857296114272</v>
      </c>
      <c r="X155" s="97">
        <f t="shared" si="37"/>
        <v>75809.12624288813</v>
      </c>
      <c r="Y155" s="98">
        <f t="shared" si="38"/>
        <v>4364.4608568556505</v>
      </c>
      <c r="Z155" s="97">
        <f t="shared" si="39"/>
        <v>69192.15246181723</v>
      </c>
      <c r="AA155" s="98">
        <f t="shared" si="40"/>
        <v>4333.717073727811</v>
      </c>
      <c r="AB155" s="98">
        <f t="shared" si="41"/>
        <v>68731.99431035554</v>
      </c>
      <c r="AC155" s="91"/>
      <c r="AD155" s="92">
        <f t="shared" si="42"/>
        <v>4333.56740774736</v>
      </c>
    </row>
    <row r="156" spans="1:30" ht="11.25">
      <c r="A156" s="15"/>
      <c r="B156" s="93">
        <f>IF(C156&gt;$K$1,0,'Ranges and Data'!$A$10)</f>
        <v>535.2234266961229</v>
      </c>
      <c r="C156" s="94">
        <f t="shared" si="43"/>
        <v>35548.24999999985</v>
      </c>
      <c r="D156" s="85">
        <f t="shared" si="35"/>
        <v>17.75000000000042</v>
      </c>
      <c r="E156" s="15"/>
      <c r="F156" s="21"/>
      <c r="G156" s="21"/>
      <c r="H156" s="21"/>
      <c r="I156" s="21"/>
      <c r="J156" s="21"/>
      <c r="K156" s="21"/>
      <c r="L156" s="21"/>
      <c r="M156" s="15"/>
      <c r="N156" s="42"/>
      <c r="O156" s="86">
        <f t="shared" si="45"/>
        <v>0.002428022411891867</v>
      </c>
      <c r="P156" s="86">
        <f t="shared" si="45"/>
        <v>0.9528517248553032</v>
      </c>
      <c r="Q156" s="86">
        <f t="shared" si="45"/>
        <v>82.47829161560888</v>
      </c>
      <c r="R156" s="86">
        <f t="shared" si="45"/>
        <v>2905.730123903423</v>
      </c>
      <c r="S156" s="86">
        <f t="shared" si="45"/>
        <v>56367.60956427738</v>
      </c>
      <c r="T156" s="86">
        <f t="shared" si="45"/>
        <v>714751.3140300084</v>
      </c>
      <c r="U156" s="87">
        <f t="shared" si="45"/>
        <v>6591791.600458186</v>
      </c>
      <c r="V156" s="15"/>
      <c r="W156" s="96">
        <f t="shared" si="36"/>
        <v>4758.78793282009</v>
      </c>
      <c r="X156" s="97">
        <f t="shared" si="37"/>
        <v>74684.77967069726</v>
      </c>
      <c r="Y156" s="98">
        <f t="shared" si="38"/>
        <v>4321.87045830314</v>
      </c>
      <c r="Z156" s="97">
        <f t="shared" si="39"/>
        <v>68196.77126226462</v>
      </c>
      <c r="AA156" s="98">
        <f t="shared" si="40"/>
        <v>4291.568447749222</v>
      </c>
      <c r="AB156" s="98">
        <f t="shared" si="41"/>
        <v>67745.47062640186</v>
      </c>
      <c r="AC156" s="91"/>
      <c r="AD156" s="92">
        <f t="shared" si="42"/>
        <v>4291.420929941799</v>
      </c>
    </row>
    <row r="157" spans="1:30" ht="11.25">
      <c r="A157" s="15"/>
      <c r="B157" s="93">
        <f>IF(C157&gt;$K$1,0,'Ranges and Data'!$A$10)</f>
        <v>535.2234266961229</v>
      </c>
      <c r="C157" s="94">
        <f t="shared" si="43"/>
        <v>35578.66666666651</v>
      </c>
      <c r="D157" s="85">
        <f t="shared" si="35"/>
        <v>17.66666666666709</v>
      </c>
      <c r="E157" s="15"/>
      <c r="F157" s="21"/>
      <c r="G157" s="21"/>
      <c r="H157" s="21"/>
      <c r="I157" s="21"/>
      <c r="J157" s="21"/>
      <c r="K157" s="21"/>
      <c r="L157" s="21"/>
      <c r="M157" s="15"/>
      <c r="N157" s="42"/>
      <c r="O157" s="86">
        <f t="shared" si="45"/>
        <v>0.0025724001376766685</v>
      </c>
      <c r="P157" s="86">
        <f t="shared" si="45"/>
        <v>0.9815983532471146</v>
      </c>
      <c r="Q157" s="86">
        <f t="shared" si="45"/>
        <v>83.20564297573814</v>
      </c>
      <c r="R157" s="86">
        <f t="shared" si="45"/>
        <v>2882.7427285654435</v>
      </c>
      <c r="S157" s="86">
        <f t="shared" si="45"/>
        <v>55148.58049149515</v>
      </c>
      <c r="T157" s="86">
        <f t="shared" si="45"/>
        <v>691004.2060407102</v>
      </c>
      <c r="U157" s="87">
        <f t="shared" si="45"/>
        <v>6306659.617216128</v>
      </c>
      <c r="V157" s="15"/>
      <c r="W157" s="96">
        <f t="shared" si="36"/>
        <v>4710.2193752415915</v>
      </c>
      <c r="X157" s="97">
        <f t="shared" si="37"/>
        <v>73575.48685169771</v>
      </c>
      <c r="Y157" s="98">
        <f t="shared" si="38"/>
        <v>4279.695676274265</v>
      </c>
      <c r="Z157" s="97">
        <f t="shared" si="39"/>
        <v>67214.22783671664</v>
      </c>
      <c r="AA157" s="98">
        <f t="shared" si="40"/>
        <v>4249.829748547498</v>
      </c>
      <c r="AB157" s="98">
        <f t="shared" si="41"/>
        <v>66771.63493054642</v>
      </c>
      <c r="AC157" s="91"/>
      <c r="AD157" s="92">
        <f t="shared" si="42"/>
        <v>4249.684351284968</v>
      </c>
    </row>
    <row r="158" spans="1:30" ht="11.25">
      <c r="A158" s="15"/>
      <c r="B158" s="93">
        <f>IF(C158&gt;$K$1,0,'Ranges and Data'!$A$10)</f>
        <v>535.2234266961229</v>
      </c>
      <c r="C158" s="94">
        <f t="shared" si="43"/>
        <v>35609.083333333176</v>
      </c>
      <c r="D158" s="85">
        <f t="shared" si="35"/>
        <v>17.583333333333766</v>
      </c>
      <c r="E158" s="15"/>
      <c r="F158" s="21"/>
      <c r="G158" s="21"/>
      <c r="H158" s="21"/>
      <c r="I158" s="21"/>
      <c r="J158" s="21"/>
      <c r="K158" s="21"/>
      <c r="L158" s="21"/>
      <c r="M158" s="15"/>
      <c r="N158" s="42"/>
      <c r="O158" s="86">
        <f t="shared" si="45"/>
        <v>0.0027253630097931864</v>
      </c>
      <c r="P158" s="86">
        <f t="shared" si="45"/>
        <v>1.0112122400195747</v>
      </c>
      <c r="Q158" s="86">
        <f t="shared" si="45"/>
        <v>83.93940862974662</v>
      </c>
      <c r="R158" s="86">
        <f t="shared" si="45"/>
        <v>2859.937187811988</v>
      </c>
      <c r="S158" s="86">
        <f t="shared" si="45"/>
        <v>53955.91464205659</v>
      </c>
      <c r="T158" s="86">
        <f t="shared" si="45"/>
        <v>668046.0789553814</v>
      </c>
      <c r="U158" s="87">
        <f t="shared" si="45"/>
        <v>6033861.19255654</v>
      </c>
      <c r="V158" s="15"/>
      <c r="W158" s="96">
        <f t="shared" si="36"/>
        <v>4662.1465121169285</v>
      </c>
      <c r="X158" s="97">
        <f t="shared" si="37"/>
        <v>72481.05762280402</v>
      </c>
      <c r="Y158" s="98">
        <f t="shared" si="38"/>
        <v>4237.93245499353</v>
      </c>
      <c r="Z158" s="97">
        <f t="shared" si="39"/>
        <v>66244.36641909562</v>
      </c>
      <c r="AA158" s="98">
        <f t="shared" si="40"/>
        <v>4208.496989279454</v>
      </c>
      <c r="AB158" s="98">
        <f t="shared" si="41"/>
        <v>65810.33373790691</v>
      </c>
      <c r="AC158" s="91"/>
      <c r="AD158" s="92">
        <f t="shared" si="42"/>
        <v>4208.353685267896</v>
      </c>
    </row>
    <row r="159" spans="1:30" ht="11.25">
      <c r="A159" s="15"/>
      <c r="B159" s="93">
        <f>IF(C159&gt;$K$1,0,'Ranges and Data'!$A$10)</f>
        <v>535.2234266961229</v>
      </c>
      <c r="C159" s="94">
        <f t="shared" si="43"/>
        <v>35639.49999999984</v>
      </c>
      <c r="D159" s="85">
        <f t="shared" si="35"/>
        <v>17.500000000000437</v>
      </c>
      <c r="E159" s="15"/>
      <c r="F159" s="21"/>
      <c r="G159" s="21"/>
      <c r="H159" s="21"/>
      <c r="I159" s="21"/>
      <c r="J159" s="21"/>
      <c r="K159" s="21"/>
      <c r="L159" s="21"/>
      <c r="M159" s="15"/>
      <c r="N159" s="42"/>
      <c r="O159" s="86">
        <f aca="true" t="shared" si="46" ref="O159:U168">$B159*O$7^$D159</f>
        <v>0.002887421527607842</v>
      </c>
      <c r="P159" s="86">
        <f t="shared" si="46"/>
        <v>1.0417195495314595</v>
      </c>
      <c r="Q159" s="86">
        <f t="shared" si="46"/>
        <v>84.6796451433717</v>
      </c>
      <c r="R159" s="86">
        <f t="shared" si="46"/>
        <v>2837.3120629811556</v>
      </c>
      <c r="S159" s="86">
        <f t="shared" si="46"/>
        <v>52789.04187406703</v>
      </c>
      <c r="T159" s="86">
        <f t="shared" si="46"/>
        <v>645850.7194402898</v>
      </c>
      <c r="U159" s="87">
        <f t="shared" si="46"/>
        <v>5772862.830848419</v>
      </c>
      <c r="V159" s="15"/>
      <c r="W159" s="96">
        <f t="shared" si="36"/>
        <v>4614.56428435017</v>
      </c>
      <c r="X159" s="97">
        <f t="shared" si="37"/>
        <v>71401.30413450928</v>
      </c>
      <c r="Y159" s="98">
        <f t="shared" si="38"/>
        <v>4196.576778263544</v>
      </c>
      <c r="Z159" s="97">
        <f t="shared" si="39"/>
        <v>65287.03306088792</v>
      </c>
      <c r="AA159" s="98">
        <f t="shared" si="40"/>
        <v>4167.566221876915</v>
      </c>
      <c r="AB159" s="98">
        <f t="shared" si="41"/>
        <v>64861.41534895213</v>
      </c>
      <c r="AC159" s="91"/>
      <c r="AD159" s="92">
        <f t="shared" si="42"/>
        <v>4167.4249841527335</v>
      </c>
    </row>
    <row r="160" spans="1:30" ht="11.25">
      <c r="A160" s="15"/>
      <c r="B160" s="93">
        <f>IF(C160&gt;$K$1,0,'Ranges and Data'!$A$10)</f>
        <v>535.2234266961229</v>
      </c>
      <c r="C160" s="94">
        <f t="shared" si="43"/>
        <v>35669.916666666504</v>
      </c>
      <c r="D160" s="85">
        <f t="shared" si="35"/>
        <v>17.416666666667112</v>
      </c>
      <c r="E160" s="15"/>
      <c r="F160" s="21"/>
      <c r="G160" s="21"/>
      <c r="H160" s="21"/>
      <c r="I160" s="21"/>
      <c r="J160" s="21"/>
      <c r="K160" s="21"/>
      <c r="L160" s="21"/>
      <c r="M160" s="15"/>
      <c r="N160" s="42"/>
      <c r="O160" s="86">
        <f t="shared" si="46"/>
        <v>0.0030591165463590315</v>
      </c>
      <c r="P160" s="86">
        <f t="shared" si="46"/>
        <v>1.0731472354953095</v>
      </c>
      <c r="Q160" s="86">
        <f t="shared" si="46"/>
        <v>85.42640958118695</v>
      </c>
      <c r="R160" s="86">
        <f t="shared" si="46"/>
        <v>2814.865926792379</v>
      </c>
      <c r="S160" s="86">
        <f t="shared" si="46"/>
        <v>51647.40437575478</v>
      </c>
      <c r="T160" s="86">
        <f t="shared" si="46"/>
        <v>624392.7850812216</v>
      </c>
      <c r="U160" s="87">
        <f t="shared" si="46"/>
        <v>5523154.113141137</v>
      </c>
      <c r="V160" s="15"/>
      <c r="W160" s="96">
        <f t="shared" si="36"/>
        <v>4567.4676844789265</v>
      </c>
      <c r="X160" s="97">
        <f t="shared" si="37"/>
        <v>70336.04082346891</v>
      </c>
      <c r="Y160" s="98">
        <f t="shared" si="38"/>
        <v>4155.624669078812</v>
      </c>
      <c r="Z160" s="97">
        <f t="shared" si="39"/>
        <v>64342.07561050432</v>
      </c>
      <c r="AA160" s="98">
        <f t="shared" si="40"/>
        <v>4127.03353666962</v>
      </c>
      <c r="AB160" s="98">
        <f t="shared" si="41"/>
        <v>63924.72982929298</v>
      </c>
      <c r="AC160" s="91"/>
      <c r="AD160" s="92">
        <f t="shared" si="42"/>
        <v>4126.894338595696</v>
      </c>
    </row>
    <row r="161" spans="1:30" ht="11.25">
      <c r="A161" s="15"/>
      <c r="B161" s="93">
        <f>IF(C161&gt;$K$1,0,'Ranges and Data'!$A$10)</f>
        <v>535.2234266961229</v>
      </c>
      <c r="C161" s="94">
        <f t="shared" si="43"/>
        <v>35700.33333333317</v>
      </c>
      <c r="D161" s="85">
        <f t="shared" si="35"/>
        <v>17.333333333333787</v>
      </c>
      <c r="E161" s="15"/>
      <c r="F161" s="21"/>
      <c r="G161" s="21"/>
      <c r="H161" s="21"/>
      <c r="I161" s="21"/>
      <c r="J161" s="21"/>
      <c r="K161" s="21"/>
      <c r="L161" s="21"/>
      <c r="M161" s="15"/>
      <c r="N161" s="42"/>
      <c r="O161" s="86">
        <f t="shared" si="46"/>
        <v>0.003241021082211237</v>
      </c>
      <c r="P161" s="86">
        <f t="shared" si="46"/>
        <v>1.105523064791486</v>
      </c>
      <c r="Q161" s="86">
        <f t="shared" si="46"/>
        <v>86.17975951100135</v>
      </c>
      <c r="R161" s="86">
        <f t="shared" si="46"/>
        <v>2792.597363256388</v>
      </c>
      <c r="S161" s="86">
        <f t="shared" si="46"/>
        <v>50530.45639881444</v>
      </c>
      <c r="T161" s="86">
        <f t="shared" si="46"/>
        <v>603647.7754477882</v>
      </c>
      <c r="U161" s="87">
        <f t="shared" si="46"/>
        <v>5284246.698968343</v>
      </c>
      <c r="V161" s="15"/>
      <c r="W161" s="96">
        <f t="shared" si="36"/>
        <v>4520.851756147345</v>
      </c>
      <c r="X161" s="97">
        <f t="shared" si="37"/>
        <v>69285.08438540174</v>
      </c>
      <c r="Y161" s="98">
        <f t="shared" si="38"/>
        <v>4115.072189243258</v>
      </c>
      <c r="Z161" s="97">
        <f t="shared" si="39"/>
        <v>63409.34369286917</v>
      </c>
      <c r="AA161" s="98">
        <f t="shared" si="40"/>
        <v>4086.8950620117544</v>
      </c>
      <c r="AB161" s="98">
        <f t="shared" si="41"/>
        <v>63000.128989696525</v>
      </c>
      <c r="AC161" s="91"/>
      <c r="AD161" s="92">
        <f t="shared" si="42"/>
        <v>4086.7578772736524</v>
      </c>
    </row>
    <row r="162" spans="1:30" ht="11.25">
      <c r="A162" s="15"/>
      <c r="B162" s="93">
        <f>IF(C162&gt;$K$1,0,'Ranges and Data'!$A$10)</f>
        <v>535.2234266961229</v>
      </c>
      <c r="C162" s="94">
        <f t="shared" si="43"/>
        <v>35730.74999999983</v>
      </c>
      <c r="D162" s="85">
        <f t="shared" si="35"/>
        <v>17.25000000000046</v>
      </c>
      <c r="E162" s="15"/>
      <c r="F162" s="21"/>
      <c r="G162" s="21"/>
      <c r="H162" s="21"/>
      <c r="I162" s="21"/>
      <c r="J162" s="21"/>
      <c r="K162" s="21"/>
      <c r="L162" s="21"/>
      <c r="M162" s="15"/>
      <c r="N162" s="42"/>
      <c r="O162" s="86">
        <f t="shared" si="46"/>
        <v>0.003433742224643218</v>
      </c>
      <c r="P162" s="86">
        <f t="shared" si="46"/>
        <v>1.1388756420006667</v>
      </c>
      <c r="Q162" s="86">
        <f t="shared" si="46"/>
        <v>86.93975300829727</v>
      </c>
      <c r="R162" s="86">
        <f t="shared" si="46"/>
        <v>2770.5049675858845</v>
      </c>
      <c r="S162" s="86">
        <f t="shared" si="46"/>
        <v>49437.66399751759</v>
      </c>
      <c r="T162" s="86">
        <f t="shared" si="46"/>
        <v>583592.0041191103</v>
      </c>
      <c r="U162" s="87">
        <f t="shared" si="46"/>
        <v>5055673.371329707</v>
      </c>
      <c r="V162" s="15"/>
      <c r="W162" s="96">
        <f t="shared" si="36"/>
        <v>4474.711593584529</v>
      </c>
      <c r="X162" s="97">
        <f t="shared" si="37"/>
        <v>68248.25374830696</v>
      </c>
      <c r="Y162" s="98">
        <f t="shared" si="38"/>
        <v>4074.9154389915234</v>
      </c>
      <c r="Z162" s="97">
        <f t="shared" si="39"/>
        <v>62488.68868923767</v>
      </c>
      <c r="AA162" s="98">
        <f t="shared" si="40"/>
        <v>4047.1469639121474</v>
      </c>
      <c r="AB162" s="98">
        <f t="shared" si="41"/>
        <v>62087.466366322806</v>
      </c>
      <c r="AC162" s="91"/>
      <c r="AD162" s="92">
        <f t="shared" si="42"/>
        <v>4047.011766514351</v>
      </c>
    </row>
    <row r="163" spans="1:30" ht="11.25">
      <c r="A163" s="15"/>
      <c r="B163" s="93">
        <f>IF(C163&gt;$K$1,0,'Ranges and Data'!$A$10)</f>
        <v>535.2234266961229</v>
      </c>
      <c r="C163" s="94">
        <f t="shared" si="43"/>
        <v>35761.1666666665</v>
      </c>
      <c r="D163" s="85">
        <f t="shared" si="35"/>
        <v>17.166666666667133</v>
      </c>
      <c r="E163" s="15"/>
      <c r="F163" s="21"/>
      <c r="G163" s="21"/>
      <c r="H163" s="21"/>
      <c r="I163" s="21"/>
      <c r="J163" s="21"/>
      <c r="K163" s="21"/>
      <c r="L163" s="21"/>
      <c r="M163" s="15"/>
      <c r="N163" s="42"/>
      <c r="O163" s="86">
        <f t="shared" si="46"/>
        <v>0.0036379231625526553</v>
      </c>
      <c r="P163" s="86">
        <f t="shared" si="46"/>
        <v>1.1732344346764616</v>
      </c>
      <c r="Q163" s="86">
        <f t="shared" si="46"/>
        <v>87.7064486607072</v>
      </c>
      <c r="R163" s="86">
        <f t="shared" si="46"/>
        <v>2748.587346106922</v>
      </c>
      <c r="S163" s="86">
        <f t="shared" si="46"/>
        <v>48368.50477346557</v>
      </c>
      <c r="T163" s="86">
        <f t="shared" si="46"/>
        <v>564202.571638928</v>
      </c>
      <c r="U163" s="87">
        <f t="shared" si="46"/>
        <v>4836987.122982445</v>
      </c>
      <c r="V163" s="15"/>
      <c r="W163" s="96">
        <f t="shared" si="36"/>
        <v>4429.042341088257</v>
      </c>
      <c r="X163" s="97">
        <f t="shared" si="37"/>
        <v>67225.37004599217</v>
      </c>
      <c r="Y163" s="98">
        <f t="shared" si="38"/>
        <v>4035.1505566139435</v>
      </c>
      <c r="Z163" s="97">
        <f t="shared" si="39"/>
        <v>61579.9637172377</v>
      </c>
      <c r="AA163" s="98">
        <f t="shared" si="40"/>
        <v>4007.785445668045</v>
      </c>
      <c r="AB163" s="98">
        <f t="shared" si="41"/>
        <v>61186.59720118047</v>
      </c>
      <c r="AC163" s="91"/>
      <c r="AD163" s="92">
        <f t="shared" si="42"/>
        <v>4007.652209930251</v>
      </c>
    </row>
    <row r="164" spans="1:30" ht="11.25">
      <c r="A164" s="15"/>
      <c r="B164" s="93">
        <f>IF(C164&gt;$K$1,0,'Ranges and Data'!$A$10)</f>
        <v>535.2234266961229</v>
      </c>
      <c r="C164" s="94">
        <f t="shared" si="43"/>
        <v>35791.58333333316</v>
      </c>
      <c r="D164" s="85">
        <f t="shared" si="35"/>
        <v>17.083333333333805</v>
      </c>
      <c r="E164" s="15"/>
      <c r="F164" s="21"/>
      <c r="G164" s="21"/>
      <c r="H164" s="21"/>
      <c r="I164" s="21"/>
      <c r="J164" s="21"/>
      <c r="K164" s="21"/>
      <c r="L164" s="21"/>
      <c r="M164" s="15"/>
      <c r="N164" s="42"/>
      <c r="O164" s="86">
        <f t="shared" si="46"/>
        <v>0.0038542453308393764</v>
      </c>
      <c r="P164" s="86">
        <f t="shared" si="46"/>
        <v>1.2086297993804966</v>
      </c>
      <c r="Q164" s="86">
        <f t="shared" si="46"/>
        <v>88.4799055725305</v>
      </c>
      <c r="R164" s="86">
        <f t="shared" si="46"/>
        <v>2726.8431161709864</v>
      </c>
      <c r="S164" s="86">
        <f t="shared" si="46"/>
        <v>47322.46762586174</v>
      </c>
      <c r="T164" s="86">
        <f t="shared" si="46"/>
        <v>545457.339369251</v>
      </c>
      <c r="U164" s="87">
        <f t="shared" si="46"/>
        <v>4627760.282255803</v>
      </c>
      <c r="V164" s="15"/>
      <c r="W164" s="96">
        <f t="shared" si="36"/>
        <v>4383.839192513978</v>
      </c>
      <c r="X164" s="97">
        <f t="shared" si="37"/>
        <v>66216.2565919091</v>
      </c>
      <c r="Y164" s="98">
        <f t="shared" si="38"/>
        <v>3995.7737180851673</v>
      </c>
      <c r="Z164" s="97">
        <f t="shared" si="39"/>
        <v>60683.02361113331</v>
      </c>
      <c r="AA164" s="98">
        <f t="shared" si="40"/>
        <v>3968.8067475024545</v>
      </c>
      <c r="AB164" s="98">
        <f t="shared" si="41"/>
        <v>60297.37842279941</v>
      </c>
      <c r="AC164" s="91"/>
      <c r="AD164" s="92">
        <f t="shared" si="42"/>
        <v>3968.675448055894</v>
      </c>
    </row>
    <row r="165" spans="1:30" ht="11.25">
      <c r="A165" s="15"/>
      <c r="B165" s="93">
        <f>IF(C165&gt;$K$1,0,'Ranges and Data'!$A$10)</f>
        <v>535.2234266961229</v>
      </c>
      <c r="C165" s="94">
        <f t="shared" si="43"/>
        <v>35821.999999999825</v>
      </c>
      <c r="D165" s="85">
        <f t="shared" si="35"/>
        <v>17.00000000000048</v>
      </c>
      <c r="E165" s="15"/>
      <c r="F165" s="21"/>
      <c r="G165" s="21"/>
      <c r="H165" s="21"/>
      <c r="I165" s="21"/>
      <c r="J165" s="21"/>
      <c r="K165" s="21"/>
      <c r="L165" s="21"/>
      <c r="M165" s="15"/>
      <c r="N165" s="42"/>
      <c r="O165" s="86">
        <f t="shared" si="46"/>
        <v>0.004083430684630931</v>
      </c>
      <c r="P165" s="86">
        <f t="shared" si="46"/>
        <v>1.245093008502918</v>
      </c>
      <c r="Q165" s="86">
        <f t="shared" si="46"/>
        <v>89.26018336928965</v>
      </c>
      <c r="R165" s="86">
        <f t="shared" si="46"/>
        <v>2705.2709060677767</v>
      </c>
      <c r="S165" s="86">
        <f t="shared" si="46"/>
        <v>46299.05250718554</v>
      </c>
      <c r="T165" s="86">
        <f t="shared" si="46"/>
        <v>527334.9042127177</v>
      </c>
      <c r="U165" s="87">
        <f t="shared" si="46"/>
        <v>4427583.676679155</v>
      </c>
      <c r="V165" s="15"/>
      <c r="W165" s="96">
        <f t="shared" si="36"/>
        <v>4339.09739076903</v>
      </c>
      <c r="X165" s="97">
        <f t="shared" si="37"/>
        <v>65220.738853294075</v>
      </c>
      <c r="Y165" s="98">
        <f t="shared" si="38"/>
        <v>3956.7811366964343</v>
      </c>
      <c r="Z165" s="97">
        <f t="shared" si="39"/>
        <v>59797.72490230899</v>
      </c>
      <c r="AA165" s="98">
        <f t="shared" si="40"/>
        <v>3930.2071462050203</v>
      </c>
      <c r="AB165" s="98">
        <f t="shared" si="41"/>
        <v>59419.6686271184</v>
      </c>
      <c r="AC165" s="91"/>
      <c r="AD165" s="92">
        <f t="shared" si="42"/>
        <v>3930.0777579888304</v>
      </c>
    </row>
    <row r="166" spans="1:30" ht="11.25">
      <c r="A166" s="15"/>
      <c r="B166" s="93">
        <f>IF(C166&gt;$K$1,0,'Ranges and Data'!$A$10)</f>
        <v>535.2234266961229</v>
      </c>
      <c r="C166" s="94">
        <f t="shared" si="43"/>
        <v>35852.41666666649</v>
      </c>
      <c r="D166" s="85">
        <f t="shared" si="35"/>
        <v>16.91666666666715</v>
      </c>
      <c r="E166" s="15"/>
      <c r="F166" s="21"/>
      <c r="G166" s="21"/>
      <c r="H166" s="21"/>
      <c r="I166" s="21"/>
      <c r="J166" s="21"/>
      <c r="K166" s="21"/>
      <c r="L166" s="21"/>
      <c r="M166" s="15"/>
      <c r="N166" s="42"/>
      <c r="O166" s="86">
        <f t="shared" si="46"/>
        <v>0.004326244108740766</v>
      </c>
      <c r="P166" s="86">
        <f t="shared" si="46"/>
        <v>1.2826562778920902</v>
      </c>
      <c r="Q166" s="86">
        <f t="shared" si="46"/>
        <v>90.04734220232679</v>
      </c>
      <c r="R166" s="86">
        <f t="shared" si="46"/>
        <v>2683.8693549386653</v>
      </c>
      <c r="S166" s="86">
        <f t="shared" si="46"/>
        <v>45297.77018414911</v>
      </c>
      <c r="T166" s="86">
        <f t="shared" si="46"/>
        <v>509814.5741747657</v>
      </c>
      <c r="U166" s="87">
        <f t="shared" si="46"/>
        <v>4236065.832787687</v>
      </c>
      <c r="V166" s="15"/>
      <c r="W166" s="96">
        <f t="shared" si="36"/>
        <v>4294.812227312003</v>
      </c>
      <c r="X166" s="97">
        <f t="shared" si="37"/>
        <v>64238.64442560873</v>
      </c>
      <c r="Y166" s="98">
        <f t="shared" si="38"/>
        <v>3918.1690626914055</v>
      </c>
      <c r="Z166" s="97">
        <f t="shared" si="39"/>
        <v>58923.92579997047</v>
      </c>
      <c r="AA166" s="98">
        <f t="shared" si="40"/>
        <v>3891.9829547763716</v>
      </c>
      <c r="AB166" s="98">
        <f t="shared" si="41"/>
        <v>58553.328058584215</v>
      </c>
      <c r="AC166" s="91"/>
      <c r="AD166" s="92">
        <f t="shared" si="42"/>
        <v>3891.8554530340043</v>
      </c>
    </row>
    <row r="167" spans="1:30" ht="11.25">
      <c r="A167" s="15"/>
      <c r="B167" s="93">
        <f>IF(C167&gt;$K$1,0,'Ranges and Data'!$A$10)</f>
        <v>535.2234266961229</v>
      </c>
      <c r="C167" s="94">
        <f t="shared" si="43"/>
        <v>35882.833333333154</v>
      </c>
      <c r="D167" s="85">
        <f t="shared" si="35"/>
        <v>16.833333333333826</v>
      </c>
      <c r="E167" s="15"/>
      <c r="F167" s="21"/>
      <c r="G167" s="21"/>
      <c r="H167" s="21"/>
      <c r="I167" s="21"/>
      <c r="J167" s="21"/>
      <c r="K167" s="21"/>
      <c r="L167" s="21"/>
      <c r="M167" s="15"/>
      <c r="N167" s="42"/>
      <c r="O167" s="86">
        <f t="shared" si="46"/>
        <v>0.00458349597040014</v>
      </c>
      <c r="P167" s="86">
        <f t="shared" si="46"/>
        <v>1.3213527953178053</v>
      </c>
      <c r="Q167" s="86">
        <f t="shared" si="46"/>
        <v>90.84144275344063</v>
      </c>
      <c r="R167" s="86">
        <f t="shared" si="46"/>
        <v>2662.63711269086</v>
      </c>
      <c r="S167" s="86">
        <f t="shared" si="46"/>
        <v>44318.14200382482</v>
      </c>
      <c r="T167" s="86">
        <f t="shared" si="46"/>
        <v>492876.3447377548</v>
      </c>
      <c r="U167" s="87">
        <f t="shared" si="46"/>
        <v>4052832.210541093</v>
      </c>
      <c r="V167" s="15"/>
      <c r="W167" s="96">
        <f t="shared" si="36"/>
        <v>4250.979041657223</v>
      </c>
      <c r="X167" s="97">
        <f t="shared" si="37"/>
        <v>63269.803007278526</v>
      </c>
      <c r="Y167" s="98">
        <f t="shared" si="38"/>
        <v>3879.933782905586</v>
      </c>
      <c r="Z167" s="97">
        <f t="shared" si="39"/>
        <v>58061.48617206147</v>
      </c>
      <c r="AA167" s="98">
        <f t="shared" si="40"/>
        <v>3854.1305220759587</v>
      </c>
      <c r="AB167" s="98">
        <f t="shared" si="41"/>
        <v>57698.218591461526</v>
      </c>
      <c r="AC167" s="91"/>
      <c r="AD167" s="92">
        <f t="shared" si="42"/>
        <v>3854.0048823516354</v>
      </c>
    </row>
    <row r="168" spans="1:30" ht="11.25">
      <c r="A168" s="15"/>
      <c r="B168" s="93">
        <f>IF(C168&gt;$K$1,0,'Ranges and Data'!$A$10)</f>
        <v>535.2234266961229</v>
      </c>
      <c r="C168" s="94">
        <f t="shared" si="43"/>
        <v>35913.24999999982</v>
      </c>
      <c r="D168" s="85">
        <f t="shared" si="35"/>
        <v>16.750000000000497</v>
      </c>
      <c r="E168" s="15"/>
      <c r="F168" s="21"/>
      <c r="G168" s="21"/>
      <c r="H168" s="21"/>
      <c r="I168" s="21"/>
      <c r="J168" s="21"/>
      <c r="K168" s="21"/>
      <c r="L168" s="21"/>
      <c r="M168" s="15"/>
      <c r="N168" s="42"/>
      <c r="O168" s="86">
        <f t="shared" si="46"/>
        <v>0.0048560448237834775</v>
      </c>
      <c r="P168" s="86">
        <f t="shared" si="46"/>
        <v>1.3612167497932528</v>
      </c>
      <c r="Q168" s="86">
        <f t="shared" si="46"/>
        <v>91.64254623956467</v>
      </c>
      <c r="R168" s="86">
        <f t="shared" si="46"/>
        <v>2641.5728399122227</v>
      </c>
      <c r="S168" s="86">
        <f t="shared" si="46"/>
        <v>43359.69966482963</v>
      </c>
      <c r="T168" s="86">
        <f t="shared" si="46"/>
        <v>476500.87602002075</v>
      </c>
      <c r="U168" s="87">
        <f t="shared" si="46"/>
        <v>3877524.4708579155</v>
      </c>
      <c r="V168" s="15"/>
      <c r="W168" s="96">
        <f t="shared" si="36"/>
        <v>4207.593220884292</v>
      </c>
      <c r="X168" s="97">
        <f t="shared" si="37"/>
        <v>62314.04637472501</v>
      </c>
      <c r="Y168" s="98">
        <f t="shared" si="38"/>
        <v>3842.07162040922</v>
      </c>
      <c r="Z168" s="97">
        <f t="shared" si="39"/>
        <v>57210.26752639206</v>
      </c>
      <c r="AA168" s="98">
        <f t="shared" si="40"/>
        <v>3816.6462324732893</v>
      </c>
      <c r="AB168" s="98">
        <f t="shared" si="41"/>
        <v>56854.203711349735</v>
      </c>
      <c r="AC168" s="91"/>
      <c r="AD168" s="92">
        <f t="shared" si="42"/>
        <v>3816.5224306084883</v>
      </c>
    </row>
    <row r="169" spans="1:30" ht="11.25">
      <c r="A169" s="15"/>
      <c r="B169" s="93">
        <f>IF(C169&gt;$K$1,0,'Ranges and Data'!$A$10)</f>
        <v>535.2234266961229</v>
      </c>
      <c r="C169" s="94">
        <f t="shared" si="43"/>
        <v>35943.66666666648</v>
      </c>
      <c r="D169" s="85">
        <f t="shared" si="35"/>
        <v>16.666666666667172</v>
      </c>
      <c r="E169" s="15"/>
      <c r="F169" s="21"/>
      <c r="G169" s="21"/>
      <c r="H169" s="21"/>
      <c r="I169" s="21"/>
      <c r="J169" s="21"/>
      <c r="K169" s="21"/>
      <c r="L169" s="21"/>
      <c r="M169" s="15"/>
      <c r="N169" s="42"/>
      <c r="O169" s="86">
        <f aca="true" t="shared" si="47" ref="O169:U178">$B169*O$7^$D169</f>
        <v>0.005144800275353045</v>
      </c>
      <c r="P169" s="86">
        <f t="shared" si="47"/>
        <v>1.4022833617815516</v>
      </c>
      <c r="Q169" s="86">
        <f t="shared" si="47"/>
        <v>92.45071441748603</v>
      </c>
      <c r="R169" s="86">
        <f t="shared" si="47"/>
        <v>2620.675207786787</v>
      </c>
      <c r="S169" s="86">
        <f t="shared" si="47"/>
        <v>42421.984993458704</v>
      </c>
      <c r="T169" s="86">
        <f t="shared" si="47"/>
        <v>460669.4706938223</v>
      </c>
      <c r="U169" s="87">
        <f t="shared" si="47"/>
        <v>3709799.7748331814</v>
      </c>
      <c r="V169" s="15"/>
      <c r="W169" s="96">
        <f t="shared" si="36"/>
        <v>4164.650199152645</v>
      </c>
      <c r="X169" s="97">
        <f t="shared" si="37"/>
        <v>61371.20835768894</v>
      </c>
      <c r="Y169" s="98">
        <f t="shared" si="38"/>
        <v>3804.578934153718</v>
      </c>
      <c r="Z169" s="97">
        <f t="shared" si="39"/>
        <v>56370.1329919785</v>
      </c>
      <c r="AA169" s="98">
        <f t="shared" si="40"/>
        <v>3779.526505502573</v>
      </c>
      <c r="AB169" s="98">
        <f t="shared" si="41"/>
        <v>56021.148496905626</v>
      </c>
      <c r="AC169" s="91"/>
      <c r="AD169" s="92">
        <f t="shared" si="42"/>
        <v>3779.4045176325635</v>
      </c>
    </row>
    <row r="170" spans="1:30" ht="11.25">
      <c r="A170" s="15"/>
      <c r="B170" s="93">
        <f>IF(C170&gt;$K$1,0,'Ranges and Data'!$A$10)</f>
        <v>535.2234266961229</v>
      </c>
      <c r="C170" s="94">
        <f t="shared" si="43"/>
        <v>35974.08333333315</v>
      </c>
      <c r="D170" s="85">
        <f t="shared" si="35"/>
        <v>16.583333333333844</v>
      </c>
      <c r="E170" s="15"/>
      <c r="F170" s="21"/>
      <c r="G170" s="21"/>
      <c r="H170" s="21"/>
      <c r="I170" s="21"/>
      <c r="J170" s="21"/>
      <c r="K170" s="21"/>
      <c r="L170" s="21"/>
      <c r="M170" s="15"/>
      <c r="N170" s="42"/>
      <c r="O170" s="86">
        <f t="shared" si="47"/>
        <v>0.005450726019586074</v>
      </c>
      <c r="P170" s="86">
        <f t="shared" si="47"/>
        <v>1.444588914313637</v>
      </c>
      <c r="Q170" s="86">
        <f t="shared" si="47"/>
        <v>93.2660095886066</v>
      </c>
      <c r="R170" s="86">
        <f t="shared" si="47"/>
        <v>2599.942898010918</v>
      </c>
      <c r="S170" s="86">
        <f t="shared" si="47"/>
        <v>41504.54972465975</v>
      </c>
      <c r="T170" s="86">
        <f t="shared" si="47"/>
        <v>445364.0526369351</v>
      </c>
      <c r="U170" s="87">
        <f t="shared" si="47"/>
        <v>3549330.1132686986</v>
      </c>
      <c r="V170" s="15"/>
      <c r="W170" s="96">
        <f t="shared" si="36"/>
        <v>4122.14545722102</v>
      </c>
      <c r="X170" s="97">
        <f t="shared" si="37"/>
        <v>60441.124814839975</v>
      </c>
      <c r="Y170" s="98">
        <f t="shared" si="38"/>
        <v>3767.452118621494</v>
      </c>
      <c r="Z170" s="97">
        <f t="shared" si="39"/>
        <v>55540.94730059008</v>
      </c>
      <c r="AA170" s="98">
        <f t="shared" si="40"/>
        <v>3742.767795520713</v>
      </c>
      <c r="AB170" s="98">
        <f t="shared" si="41"/>
        <v>55198.91960176876</v>
      </c>
      <c r="AC170" s="91"/>
      <c r="AD170" s="92">
        <f t="shared" si="42"/>
        <v>3742.647598071124</v>
      </c>
    </row>
    <row r="171" spans="1:30" ht="11.25">
      <c r="A171" s="15"/>
      <c r="B171" s="93">
        <f>IF(C171&gt;$K$1,0,'Ranges and Data'!$A$10)</f>
        <v>535.2234266961229</v>
      </c>
      <c r="C171" s="94">
        <f t="shared" si="43"/>
        <v>36004.49999999981</v>
      </c>
      <c r="D171" s="85">
        <f t="shared" si="35"/>
        <v>16.50000000000052</v>
      </c>
      <c r="E171" s="15"/>
      <c r="F171" s="21"/>
      <c r="G171" s="21"/>
      <c r="H171" s="21"/>
      <c r="I171" s="21"/>
      <c r="J171" s="21"/>
      <c r="K171" s="21"/>
      <c r="L171" s="21"/>
      <c r="M171" s="15"/>
      <c r="N171" s="42"/>
      <c r="O171" s="86">
        <f t="shared" si="47"/>
        <v>0.005774843055215356</v>
      </c>
      <c r="P171" s="86">
        <f t="shared" si="47"/>
        <v>1.4881707850448984</v>
      </c>
      <c r="Q171" s="86">
        <f t="shared" si="47"/>
        <v>94.08849460374553</v>
      </c>
      <c r="R171" s="86">
        <f t="shared" si="47"/>
        <v>2579.374602710161</v>
      </c>
      <c r="S171" s="86">
        <f t="shared" si="47"/>
        <v>40606.95528774472</v>
      </c>
      <c r="T171" s="86">
        <f t="shared" si="47"/>
        <v>430567.14629354054</v>
      </c>
      <c r="U171" s="87">
        <f t="shared" si="47"/>
        <v>3395801.6652050978</v>
      </c>
      <c r="V171" s="15"/>
      <c r="W171" s="96">
        <f t="shared" si="36"/>
        <v>4080.074521971898</v>
      </c>
      <c r="X171" s="97">
        <f t="shared" si="37"/>
        <v>59523.633609671466</v>
      </c>
      <c r="Y171" s="98">
        <f t="shared" si="38"/>
        <v>3730.6876034792535</v>
      </c>
      <c r="Z171" s="97">
        <f t="shared" si="39"/>
        <v>54722.57676850264</v>
      </c>
      <c r="AA171" s="98">
        <f t="shared" si="40"/>
        <v>3706.366591368636</v>
      </c>
      <c r="AB171" s="98">
        <f t="shared" si="41"/>
        <v>54387.38523668815</v>
      </c>
      <c r="AC171" s="91"/>
      <c r="AD171" s="92">
        <f t="shared" si="42"/>
        <v>3706.2481610520654</v>
      </c>
    </row>
    <row r="172" spans="1:30" ht="11.25">
      <c r="A172" s="15"/>
      <c r="B172" s="93">
        <f>IF(C172&gt;$K$1,0,'Ranges and Data'!$A$10)</f>
        <v>535.2234266961229</v>
      </c>
      <c r="C172" s="94">
        <f t="shared" si="43"/>
        <v>36034.916666666475</v>
      </c>
      <c r="D172" s="85">
        <f t="shared" si="35"/>
        <v>16.41666666666719</v>
      </c>
      <c r="E172" s="15"/>
      <c r="F172" s="21"/>
      <c r="G172" s="21"/>
      <c r="H172" s="21"/>
      <c r="I172" s="21"/>
      <c r="J172" s="21"/>
      <c r="K172" s="21"/>
      <c r="L172" s="21"/>
      <c r="M172" s="15"/>
      <c r="N172" s="42"/>
      <c r="O172" s="86">
        <f t="shared" si="47"/>
        <v>0.0061182330927177266</v>
      </c>
      <c r="P172" s="86">
        <f t="shared" si="47"/>
        <v>1.5330674792789702</v>
      </c>
      <c r="Q172" s="86">
        <f t="shared" si="47"/>
        <v>94.91823286798473</v>
      </c>
      <c r="R172" s="86">
        <f t="shared" si="47"/>
        <v>2558.9690243567265</v>
      </c>
      <c r="S172" s="86">
        <f t="shared" si="47"/>
        <v>39728.772596735245</v>
      </c>
      <c r="T172" s="86">
        <f t="shared" si="47"/>
        <v>416261.8567208276</v>
      </c>
      <c r="U172" s="87">
        <f t="shared" si="47"/>
        <v>3248914.1842008024</v>
      </c>
      <c r="V172" s="15"/>
      <c r="W172" s="96">
        <f t="shared" si="36"/>
        <v>4038.432965940734</v>
      </c>
      <c r="X172" s="97">
        <f t="shared" si="37"/>
        <v>58618.57458667477</v>
      </c>
      <c r="Y172" s="98">
        <f t="shared" si="38"/>
        <v>3694.2818532346378</v>
      </c>
      <c r="Z172" s="97">
        <f t="shared" si="39"/>
        <v>53914.88927845481</v>
      </c>
      <c r="AA172" s="98">
        <f t="shared" si="40"/>
        <v>3670.3194160359</v>
      </c>
      <c r="AB172" s="98">
        <f t="shared" si="41"/>
        <v>53586.41515184717</v>
      </c>
      <c r="AC172" s="91"/>
      <c r="AD172" s="92">
        <f t="shared" si="42"/>
        <v>3670.202729848565</v>
      </c>
    </row>
    <row r="173" spans="1:30" ht="11.25">
      <c r="A173" s="15"/>
      <c r="B173" s="93">
        <f>IF(C173&gt;$K$1,0,'Ranges and Data'!$A$10)</f>
        <v>535.2234266961229</v>
      </c>
      <c r="C173" s="94">
        <f t="shared" si="43"/>
        <v>36065.33333333314</v>
      </c>
      <c r="D173" s="85">
        <f t="shared" si="35"/>
        <v>16.333333333333865</v>
      </c>
      <c r="E173" s="15"/>
      <c r="F173" s="21"/>
      <c r="G173" s="21"/>
      <c r="H173" s="21"/>
      <c r="I173" s="21"/>
      <c r="J173" s="21"/>
      <c r="K173" s="21"/>
      <c r="L173" s="21"/>
      <c r="M173" s="15"/>
      <c r="N173" s="42"/>
      <c r="O173" s="86">
        <f t="shared" si="47"/>
        <v>0.00648204216442213</v>
      </c>
      <c r="P173" s="86">
        <f t="shared" si="47"/>
        <v>1.5793186639877923</v>
      </c>
      <c r="Q173" s="86">
        <f t="shared" si="47"/>
        <v>95.75528834555628</v>
      </c>
      <c r="R173" s="86">
        <f t="shared" si="47"/>
        <v>2538.7248756876447</v>
      </c>
      <c r="S173" s="86">
        <f t="shared" si="47"/>
        <v>38869.581845242654</v>
      </c>
      <c r="T173" s="86">
        <f t="shared" si="47"/>
        <v>402431.8502985382</v>
      </c>
      <c r="U173" s="87">
        <f t="shared" si="47"/>
        <v>3108380.411157977</v>
      </c>
      <c r="V173" s="15"/>
      <c r="W173" s="96">
        <f t="shared" si="36"/>
        <v>3997.2164068500356</v>
      </c>
      <c r="X173" s="97">
        <f t="shared" si="37"/>
        <v>57725.78954779196</v>
      </c>
      <c r="Y173" s="98">
        <f t="shared" si="38"/>
        <v>3658.231366896236</v>
      </c>
      <c r="Z173" s="97">
        <f t="shared" si="39"/>
        <v>53117.754261806054</v>
      </c>
      <c r="AA173" s="98">
        <f t="shared" si="40"/>
        <v>3634.6228263285843</v>
      </c>
      <c r="AB173" s="98">
        <f t="shared" si="41"/>
        <v>52795.88061938546</v>
      </c>
      <c r="AC173" s="91"/>
      <c r="AD173" s="92">
        <f t="shared" si="42"/>
        <v>3634.507861547005</v>
      </c>
    </row>
    <row r="174" spans="1:30" ht="11.25">
      <c r="A174" s="15"/>
      <c r="B174" s="93">
        <f>IF(C174&gt;$K$1,0,'Ranges and Data'!$A$10)</f>
        <v>535.2234266961229</v>
      </c>
      <c r="C174" s="94">
        <f t="shared" si="43"/>
        <v>36095.7499999998</v>
      </c>
      <c r="D174" s="85">
        <f t="shared" si="35"/>
        <v>16.250000000000536</v>
      </c>
      <c r="E174" s="15"/>
      <c r="F174" s="21"/>
      <c r="G174" s="21"/>
      <c r="H174" s="21"/>
      <c r="I174" s="21"/>
      <c r="J174" s="21"/>
      <c r="K174" s="21"/>
      <c r="L174" s="21"/>
      <c r="M174" s="15"/>
      <c r="N174" s="42"/>
      <c r="O174" s="86">
        <f t="shared" si="47"/>
        <v>0.006867484449286071</v>
      </c>
      <c r="P174" s="86">
        <f t="shared" si="47"/>
        <v>1.626965202858049</v>
      </c>
      <c r="Q174" s="86">
        <f t="shared" si="47"/>
        <v>96.59972556477395</v>
      </c>
      <c r="R174" s="86">
        <f t="shared" si="47"/>
        <v>2518.640879623549</v>
      </c>
      <c r="S174" s="86">
        <f t="shared" si="47"/>
        <v>38028.972305783536</v>
      </c>
      <c r="T174" s="86">
        <f t="shared" si="47"/>
        <v>389061.33607941924</v>
      </c>
      <c r="U174" s="87">
        <f t="shared" si="47"/>
        <v>2973925.5125470133</v>
      </c>
      <c r="V174" s="15"/>
      <c r="W174" s="96">
        <f t="shared" si="36"/>
        <v>3956.4205071481624</v>
      </c>
      <c r="X174" s="97">
        <f t="shared" si="37"/>
        <v>56845.122229142136</v>
      </c>
      <c r="Y174" s="98">
        <f t="shared" si="38"/>
        <v>3622.5326776369047</v>
      </c>
      <c r="Z174" s="97">
        <f t="shared" si="39"/>
        <v>52331.04268089345</v>
      </c>
      <c r="AA174" s="98">
        <f t="shared" si="40"/>
        <v>3599.27341254039</v>
      </c>
      <c r="AB174" s="98">
        <f t="shared" si="41"/>
        <v>52015.65441611477</v>
      </c>
      <c r="AC174" s="91"/>
      <c r="AD174" s="92">
        <f t="shared" si="42"/>
        <v>3599.160146718112</v>
      </c>
    </row>
    <row r="175" spans="1:30" ht="11.25">
      <c r="A175" s="15"/>
      <c r="B175" s="93">
        <f>IF(C175&gt;$K$1,0,'Ranges and Data'!$A$10)</f>
        <v>535.2234266961229</v>
      </c>
      <c r="C175" s="94">
        <f t="shared" si="43"/>
        <v>36126.16666666647</v>
      </c>
      <c r="D175" s="85">
        <f t="shared" si="35"/>
        <v>16.16666666666721</v>
      </c>
      <c r="E175" s="15"/>
      <c r="F175" s="21"/>
      <c r="G175" s="21"/>
      <c r="H175" s="21"/>
      <c r="I175" s="21"/>
      <c r="J175" s="21"/>
      <c r="K175" s="21"/>
      <c r="L175" s="21"/>
      <c r="M175" s="15"/>
      <c r="N175" s="42"/>
      <c r="O175" s="86">
        <f t="shared" si="47"/>
        <v>0.007275846325104924</v>
      </c>
      <c r="P175" s="86">
        <f t="shared" si="47"/>
        <v>1.676049192394899</v>
      </c>
      <c r="Q175" s="86">
        <f t="shared" si="47"/>
        <v>97.45160962300717</v>
      </c>
      <c r="R175" s="86">
        <f t="shared" si="47"/>
        <v>2498.7157691881293</v>
      </c>
      <c r="S175" s="86">
        <f t="shared" si="47"/>
        <v>37206.5421334358</v>
      </c>
      <c r="T175" s="86">
        <f t="shared" si="47"/>
        <v>376135.047759297</v>
      </c>
      <c r="U175" s="87">
        <f t="shared" si="47"/>
        <v>2845286.542930967</v>
      </c>
      <c r="V175" s="15"/>
      <c r="W175" s="96">
        <f t="shared" si="36"/>
        <v>3916.040973552873</v>
      </c>
      <c r="X175" s="97">
        <f t="shared" si="37"/>
        <v>55976.41827801967</v>
      </c>
      <c r="Y175" s="98">
        <f t="shared" si="38"/>
        <v>3587.182352460384</v>
      </c>
      <c r="Z175" s="97">
        <f t="shared" si="39"/>
        <v>51554.627011585566</v>
      </c>
      <c r="AA175" s="98">
        <f t="shared" si="40"/>
        <v>3564.267798126953</v>
      </c>
      <c r="AB175" s="98">
        <f t="shared" si="41"/>
        <v>51245.61080642735</v>
      </c>
      <c r="AC175" s="91"/>
      <c r="AD175" s="92">
        <f t="shared" si="42"/>
        <v>3564.1562090913135</v>
      </c>
    </row>
    <row r="176" spans="1:30" ht="11.25">
      <c r="A176" s="15"/>
      <c r="B176" s="93">
        <f>IF(C176&gt;$K$1,0,'Ranges and Data'!$A$10)</f>
        <v>535.2234266961229</v>
      </c>
      <c r="C176" s="94">
        <f t="shared" si="43"/>
        <v>36156.58333333313</v>
      </c>
      <c r="D176" s="85">
        <f t="shared" si="35"/>
        <v>16.083333333333886</v>
      </c>
      <c r="E176" s="15"/>
      <c r="F176" s="21"/>
      <c r="G176" s="21"/>
      <c r="H176" s="21"/>
      <c r="I176" s="21"/>
      <c r="J176" s="21"/>
      <c r="K176" s="21"/>
      <c r="L176" s="21"/>
      <c r="M176" s="15"/>
      <c r="N176" s="42"/>
      <c r="O176" s="86">
        <f t="shared" si="47"/>
        <v>0.007708490661678316</v>
      </c>
      <c r="P176" s="86">
        <f t="shared" si="47"/>
        <v>1.7266139991149447</v>
      </c>
      <c r="Q176" s="86">
        <f t="shared" si="47"/>
        <v>98.3110061916997</v>
      </c>
      <c r="R176" s="86">
        <f t="shared" si="47"/>
        <v>2478.9482874281885</v>
      </c>
      <c r="S176" s="86">
        <f t="shared" si="47"/>
        <v>36401.89817374061</v>
      </c>
      <c r="T176" s="86">
        <f t="shared" si="47"/>
        <v>363638.22624617955</v>
      </c>
      <c r="U176" s="87">
        <f t="shared" si="47"/>
        <v>2722211.930738824</v>
      </c>
      <c r="V176" s="15"/>
      <c r="W176" s="96">
        <f t="shared" si="36"/>
        <v>3876.07355659949</v>
      </c>
      <c r="X176" s="97">
        <f t="shared" si="37"/>
        <v>55119.52523015969</v>
      </c>
      <c r="Y176" s="98">
        <f t="shared" si="38"/>
        <v>3552.1769918711543</v>
      </c>
      <c r="Z176" s="97">
        <f t="shared" si="39"/>
        <v>50788.381226030826</v>
      </c>
      <c r="AA176" s="98">
        <f t="shared" si="40"/>
        <v>3529.602639383317</v>
      </c>
      <c r="AB176" s="98">
        <f t="shared" si="41"/>
        <v>50485.62552539427</v>
      </c>
      <c r="AC176" s="91"/>
      <c r="AD176" s="92">
        <f t="shared" si="42"/>
        <v>3529.4927052322364</v>
      </c>
    </row>
    <row r="177" spans="1:30" ht="11.25">
      <c r="A177" s="15"/>
      <c r="B177" s="93">
        <f>IF(C177&gt;$K$1,0,'Ranges and Data'!$A$10)</f>
        <v>535.2234266961229</v>
      </c>
      <c r="C177" s="94">
        <f t="shared" si="43"/>
        <v>36186.999999999796</v>
      </c>
      <c r="D177" s="85">
        <f t="shared" si="35"/>
        <v>16.000000000000558</v>
      </c>
      <c r="E177" s="15"/>
      <c r="F177" s="21"/>
      <c r="G177" s="21"/>
      <c r="H177" s="21"/>
      <c r="I177" s="21"/>
      <c r="J177" s="21"/>
      <c r="K177" s="21"/>
      <c r="L177" s="21"/>
      <c r="M177" s="15"/>
      <c r="N177" s="42"/>
      <c r="O177" s="86">
        <f t="shared" si="47"/>
        <v>0.00816686136926141</v>
      </c>
      <c r="P177" s="86">
        <f t="shared" si="47"/>
        <v>1.7787042978612626</v>
      </c>
      <c r="Q177" s="86">
        <f t="shared" si="47"/>
        <v>99.17798152143212</v>
      </c>
      <c r="R177" s="86">
        <f t="shared" si="47"/>
        <v>2459.33718733436</v>
      </c>
      <c r="S177" s="86">
        <f t="shared" si="47"/>
        <v>35614.65577475886</v>
      </c>
      <c r="T177" s="86">
        <f t="shared" si="47"/>
        <v>351556.60280848964</v>
      </c>
      <c r="U177" s="87">
        <f t="shared" si="47"/>
        <v>2604460.9862819677</v>
      </c>
      <c r="V177" s="15"/>
      <c r="W177" s="96">
        <f t="shared" si="36"/>
        <v>3836.514050193699</v>
      </c>
      <c r="X177" s="97">
        <f t="shared" si="37"/>
        <v>54274.29248726907</v>
      </c>
      <c r="Y177" s="98">
        <f t="shared" si="38"/>
        <v>3517.51322954752</v>
      </c>
      <c r="Z177" s="97">
        <f t="shared" si="39"/>
        <v>50032.18077559855</v>
      </c>
      <c r="AA177" s="98">
        <f t="shared" si="40"/>
        <v>3495.2746251245458</v>
      </c>
      <c r="AB177" s="98">
        <f t="shared" si="41"/>
        <v>49735.575762051885</v>
      </c>
      <c r="AC177" s="91"/>
      <c r="AD177" s="92">
        <f t="shared" si="42"/>
        <v>3495.1663242233644</v>
      </c>
    </row>
    <row r="178" spans="1:30" ht="11.25">
      <c r="A178" s="15"/>
      <c r="B178" s="93">
        <f>IF(C178&gt;$K$1,0,'Ranges and Data'!$A$10)</f>
        <v>535.2234266961229</v>
      </c>
      <c r="C178" s="94">
        <f t="shared" si="43"/>
        <v>36217.41666666646</v>
      </c>
      <c r="D178" s="85">
        <f t="shared" si="35"/>
        <v>15.916666666667231</v>
      </c>
      <c r="E178" s="15"/>
      <c r="F178" s="21"/>
      <c r="G178" s="21"/>
      <c r="H178" s="21"/>
      <c r="I178" s="21"/>
      <c r="J178" s="21"/>
      <c r="K178" s="21"/>
      <c r="L178" s="21"/>
      <c r="M178" s="15"/>
      <c r="N178" s="42"/>
      <c r="O178" s="86">
        <f t="shared" si="47"/>
        <v>0.008652488217481057</v>
      </c>
      <c r="P178" s="86">
        <f t="shared" si="47"/>
        <v>1.832366111274361</v>
      </c>
      <c r="Q178" s="86">
        <f t="shared" si="47"/>
        <v>100.05260244702892</v>
      </c>
      <c r="R178" s="86">
        <f t="shared" si="47"/>
        <v>2439.8812317624415</v>
      </c>
      <c r="S178" s="86">
        <f t="shared" si="47"/>
        <v>34844.43860319236</v>
      </c>
      <c r="T178" s="86">
        <f t="shared" si="47"/>
        <v>339876.3827831882</v>
      </c>
      <c r="U178" s="87">
        <f t="shared" si="47"/>
        <v>2491803.4310516827</v>
      </c>
      <c r="V178" s="15"/>
      <c r="W178" s="96">
        <f t="shared" si="36"/>
        <v>3797.3582911689173</v>
      </c>
      <c r="X178" s="97">
        <f t="shared" si="37"/>
        <v>53440.5712948194</v>
      </c>
      <c r="Y178" s="98">
        <f t="shared" si="38"/>
        <v>3483.187732017893</v>
      </c>
      <c r="Z178" s="97">
        <f t="shared" si="39"/>
        <v>49285.902574010564</v>
      </c>
      <c r="AA178" s="98">
        <f t="shared" si="40"/>
        <v>3461.2804763694435</v>
      </c>
      <c r="AB178" s="98">
        <f t="shared" si="41"/>
        <v>48995.340142874345</v>
      </c>
      <c r="AC178" s="91"/>
      <c r="AD178" s="92">
        <f t="shared" si="42"/>
        <v>3461.1737873477923</v>
      </c>
    </row>
    <row r="179" spans="1:30" ht="11.25">
      <c r="A179" s="15"/>
      <c r="B179" s="93">
        <f>IF(C179&gt;$K$1,0,'Ranges and Data'!$A$10)</f>
        <v>535.2234266961229</v>
      </c>
      <c r="C179" s="94">
        <f t="shared" si="43"/>
        <v>36247.833333333125</v>
      </c>
      <c r="D179" s="85">
        <f t="shared" si="35"/>
        <v>15.833333333333904</v>
      </c>
      <c r="E179" s="15"/>
      <c r="F179" s="21"/>
      <c r="G179" s="21"/>
      <c r="H179" s="21"/>
      <c r="I179" s="21"/>
      <c r="J179" s="21"/>
      <c r="K179" s="21"/>
      <c r="L179" s="21"/>
      <c r="M179" s="15"/>
      <c r="N179" s="42"/>
      <c r="O179" s="86">
        <f aca="true" t="shared" si="48" ref="O179:U188">$B179*O$7^$D179</f>
        <v>0.009166991940799776</v>
      </c>
      <c r="P179" s="86">
        <f t="shared" si="48"/>
        <v>1.8876468504539554</v>
      </c>
      <c r="Q179" s="86">
        <f t="shared" si="48"/>
        <v>100.93493639271098</v>
      </c>
      <c r="R179" s="86">
        <f t="shared" si="48"/>
        <v>2420.579193355345</v>
      </c>
      <c r="S179" s="86">
        <f t="shared" si="48"/>
        <v>34090.87846448135</v>
      </c>
      <c r="T179" s="86">
        <f t="shared" si="48"/>
        <v>328584.2298251803</v>
      </c>
      <c r="U179" s="87">
        <f t="shared" si="48"/>
        <v>2384018.947377211</v>
      </c>
      <c r="V179" s="15"/>
      <c r="W179" s="96">
        <f t="shared" si="36"/>
        <v>3758.6021588481553</v>
      </c>
      <c r="X179" s="97">
        <f t="shared" si="37"/>
        <v>52618.21472009838</v>
      </c>
      <c r="Y179" s="98">
        <f t="shared" si="38"/>
        <v>3449.197198340216</v>
      </c>
      <c r="Z179" s="97">
        <f t="shared" si="39"/>
        <v>48549.424980660915</v>
      </c>
      <c r="AA179" s="98">
        <f t="shared" si="40"/>
        <v>3427.616946027349</v>
      </c>
      <c r="AB179" s="98">
        <f t="shared" si="41"/>
        <v>48264.79871542991</v>
      </c>
      <c r="AC179" s="91"/>
      <c r="AD179" s="92">
        <f t="shared" si="42"/>
        <v>3427.511847776054</v>
      </c>
    </row>
    <row r="180" spans="1:30" ht="11.25">
      <c r="A180" s="15"/>
      <c r="B180" s="93">
        <f>IF(C180&gt;$K$1,0,'Ranges and Data'!$A$10)</f>
        <v>535.2234266961229</v>
      </c>
      <c r="C180" s="94">
        <f t="shared" si="43"/>
        <v>36278.24999999979</v>
      </c>
      <c r="D180" s="85">
        <f t="shared" si="35"/>
        <v>15.750000000000577</v>
      </c>
      <c r="E180" s="15"/>
      <c r="F180" s="21"/>
      <c r="G180" s="21"/>
      <c r="H180" s="21"/>
      <c r="I180" s="21"/>
      <c r="J180" s="21"/>
      <c r="K180" s="21"/>
      <c r="L180" s="21"/>
      <c r="M180" s="15"/>
      <c r="N180" s="42"/>
      <c r="O180" s="86">
        <f t="shared" si="48"/>
        <v>0.009712089647566403</v>
      </c>
      <c r="P180" s="86">
        <f t="shared" si="48"/>
        <v>1.944595356847447</v>
      </c>
      <c r="Q180" s="86">
        <f t="shared" si="48"/>
        <v>101.82505137729324</v>
      </c>
      <c r="R180" s="86">
        <f t="shared" si="48"/>
        <v>2401.4298544656754</v>
      </c>
      <c r="S180" s="86">
        <f t="shared" si="48"/>
        <v>33353.61512679273</v>
      </c>
      <c r="T180" s="86">
        <f t="shared" si="48"/>
        <v>317667.2506800239</v>
      </c>
      <c r="U180" s="87">
        <f t="shared" si="48"/>
        <v>2280896.7475635777</v>
      </c>
      <c r="V180" s="15"/>
      <c r="W180" s="96">
        <f t="shared" si="36"/>
        <v>3720.2415746103757</v>
      </c>
      <c r="X180" s="97">
        <f t="shared" si="37"/>
        <v>51807.077630517735</v>
      </c>
      <c r="Y180" s="98">
        <f t="shared" si="38"/>
        <v>3415.5383597845316</v>
      </c>
      <c r="Z180" s="97">
        <f t="shared" si="39"/>
        <v>47822.627784122065</v>
      </c>
      <c r="AA180" s="98">
        <f t="shared" si="40"/>
        <v>3394.2808185879744</v>
      </c>
      <c r="AB180" s="98">
        <f t="shared" si="41"/>
        <v>47543.83293221934</v>
      </c>
      <c r="AC180" s="91"/>
      <c r="AD180" s="92">
        <f t="shared" si="42"/>
        <v>3394.177290255997</v>
      </c>
    </row>
    <row r="181" spans="1:30" ht="11.25">
      <c r="A181" s="15"/>
      <c r="B181" s="93">
        <f>IF(C181&gt;$K$1,0,'Ranges and Data'!$A$10)</f>
        <v>535.2234266961229</v>
      </c>
      <c r="C181" s="94">
        <f t="shared" si="43"/>
        <v>36308.66666666645</v>
      </c>
      <c r="D181" s="85">
        <f t="shared" si="35"/>
        <v>15.666666666667252</v>
      </c>
      <c r="E181" s="15"/>
      <c r="F181" s="21"/>
      <c r="G181" s="21"/>
      <c r="H181" s="21"/>
      <c r="I181" s="21"/>
      <c r="J181" s="21"/>
      <c r="K181" s="21"/>
      <c r="L181" s="21"/>
      <c r="M181" s="15"/>
      <c r="N181" s="42"/>
      <c r="O181" s="86">
        <f t="shared" si="48"/>
        <v>0.010289600550705524</v>
      </c>
      <c r="P181" s="86">
        <f t="shared" si="48"/>
        <v>2.0032619454021594</v>
      </c>
      <c r="Q181" s="86">
        <f t="shared" si="48"/>
        <v>102.72301601942804</v>
      </c>
      <c r="R181" s="86">
        <f t="shared" si="48"/>
        <v>2382.4320070789145</v>
      </c>
      <c r="S181" s="86">
        <f t="shared" si="48"/>
        <v>32632.29614881508</v>
      </c>
      <c r="T181" s="86">
        <f t="shared" si="48"/>
        <v>307112.9804625582</v>
      </c>
      <c r="U181" s="87">
        <f t="shared" si="48"/>
        <v>2182235.161666671</v>
      </c>
      <c r="V181" s="15"/>
      <c r="W181" s="96">
        <f t="shared" si="36"/>
        <v>3682.2725014612593</v>
      </c>
      <c r="X181" s="97">
        <f t="shared" si="37"/>
        <v>51007.016672173784</v>
      </c>
      <c r="Y181" s="98">
        <f t="shared" si="38"/>
        <v>3382.2079795186382</v>
      </c>
      <c r="Z181" s="97">
        <f t="shared" si="39"/>
        <v>47105.39218583526</v>
      </c>
      <c r="AA181" s="98">
        <f t="shared" si="40"/>
        <v>3361.2689098142673</v>
      </c>
      <c r="AB181" s="98">
        <f t="shared" si="41"/>
        <v>46832.32563469415</v>
      </c>
      <c r="AC181" s="91"/>
      <c r="AD181" s="92">
        <f t="shared" si="42"/>
        <v>3361.166930805681</v>
      </c>
    </row>
    <row r="182" spans="1:30" ht="11.25">
      <c r="A182" s="15"/>
      <c r="B182" s="93">
        <f>IF(C182&gt;$K$1,0,'Ranges and Data'!$A$10)</f>
        <v>535.2234266961229</v>
      </c>
      <c r="C182" s="94">
        <f t="shared" si="43"/>
        <v>36339.08333333312</v>
      </c>
      <c r="D182" s="85">
        <f t="shared" si="35"/>
        <v>15.583333333333925</v>
      </c>
      <c r="E182" s="15"/>
      <c r="F182" s="21"/>
      <c r="G182" s="21"/>
      <c r="H182" s="21"/>
      <c r="I182" s="21"/>
      <c r="J182" s="21"/>
      <c r="K182" s="21"/>
      <c r="L182" s="21"/>
      <c r="M182" s="15"/>
      <c r="N182" s="42"/>
      <c r="O182" s="86">
        <f t="shared" si="48"/>
        <v>0.010901452039171547</v>
      </c>
      <c r="P182" s="86">
        <f t="shared" si="48"/>
        <v>2.063698449019423</v>
      </c>
      <c r="Q182" s="86">
        <f t="shared" si="48"/>
        <v>103.62889954289531</v>
      </c>
      <c r="R182" s="86">
        <f t="shared" si="48"/>
        <v>2363.5844527372165</v>
      </c>
      <c r="S182" s="86">
        <f t="shared" si="48"/>
        <v>31926.576711277434</v>
      </c>
      <c r="T182" s="86">
        <f t="shared" si="48"/>
        <v>296909.36842463305</v>
      </c>
      <c r="U182" s="87">
        <f t="shared" si="48"/>
        <v>2087841.2430993235</v>
      </c>
      <c r="V182" s="15"/>
      <c r="W182" s="96">
        <f t="shared" si="36"/>
        <v>3644.6909436083647</v>
      </c>
      <c r="X182" s="97">
        <f t="shared" si="37"/>
        <v>50217.890248658274</v>
      </c>
      <c r="Y182" s="98">
        <f t="shared" si="38"/>
        <v>3349.2028522968176</v>
      </c>
      <c r="Z182" s="97">
        <f t="shared" si="39"/>
        <v>46397.6007839831</v>
      </c>
      <c r="AA182" s="98">
        <f t="shared" si="40"/>
        <v>3328.5780664382464</v>
      </c>
      <c r="AB182" s="98">
        <f t="shared" si="41"/>
        <v>46130.16103745285</v>
      </c>
      <c r="AC182" s="91"/>
      <c r="AD182" s="92">
        <f t="shared" si="42"/>
        <v>3328.477616409247</v>
      </c>
    </row>
    <row r="183" spans="1:30" ht="11.25">
      <c r="A183" s="15"/>
      <c r="B183" s="93">
        <f>IF(C183&gt;$K$1,0,'Ranges and Data'!$A$10)</f>
        <v>535.2234266961229</v>
      </c>
      <c r="C183" s="94">
        <f t="shared" si="43"/>
        <v>36369.49999999978</v>
      </c>
      <c r="D183" s="85">
        <f t="shared" si="35"/>
        <v>15.500000000000599</v>
      </c>
      <c r="E183" s="15"/>
      <c r="F183" s="21"/>
      <c r="G183" s="21"/>
      <c r="H183" s="21"/>
      <c r="I183" s="21"/>
      <c r="J183" s="21"/>
      <c r="K183" s="21"/>
      <c r="L183" s="21"/>
      <c r="M183" s="15"/>
      <c r="N183" s="42"/>
      <c r="O183" s="86">
        <f t="shared" si="48"/>
        <v>0.011549686110430075</v>
      </c>
      <c r="P183" s="86">
        <f t="shared" si="48"/>
        <v>2.125958264349795</v>
      </c>
      <c r="Q183" s="86">
        <f t="shared" si="48"/>
        <v>104.5427717819386</v>
      </c>
      <c r="R183" s="86">
        <f t="shared" si="48"/>
        <v>2344.8860024638007</v>
      </c>
      <c r="S183" s="86">
        <f t="shared" si="48"/>
        <v>31236.119452111983</v>
      </c>
      <c r="T183" s="86">
        <f t="shared" si="48"/>
        <v>287044.764195703</v>
      </c>
      <c r="U183" s="87">
        <f t="shared" si="48"/>
        <v>1997530.3912972016</v>
      </c>
      <c r="V183" s="15"/>
      <c r="W183" s="96">
        <f t="shared" si="36"/>
        <v>3607.492946040617</v>
      </c>
      <c r="X183" s="97">
        <f t="shared" si="37"/>
        <v>49439.558500116465</v>
      </c>
      <c r="Y183" s="98">
        <f t="shared" si="38"/>
        <v>3316.519804151603</v>
      </c>
      <c r="Z183" s="97">
        <f t="shared" si="39"/>
        <v>45699.13755754241</v>
      </c>
      <c r="AA183" s="98">
        <f t="shared" si="40"/>
        <v>3296.205165859815</v>
      </c>
      <c r="AB183" s="98">
        <f t="shared" si="41"/>
        <v>45437.224712613315</v>
      </c>
      <c r="AC183" s="91"/>
      <c r="AD183" s="92">
        <f t="shared" si="42"/>
        <v>3296.1062247157633</v>
      </c>
    </row>
    <row r="184" spans="1:30" ht="11.25">
      <c r="A184" s="15"/>
      <c r="B184" s="93">
        <f>IF(C184&gt;$K$1,0,'Ranges and Data'!$A$10)</f>
        <v>535.2234266961229</v>
      </c>
      <c r="C184" s="94">
        <f t="shared" si="43"/>
        <v>36399.916666666446</v>
      </c>
      <c r="D184" s="85">
        <f t="shared" si="35"/>
        <v>15.416666666667272</v>
      </c>
      <c r="E184" s="15"/>
      <c r="F184" s="21"/>
      <c r="G184" s="21"/>
      <c r="H184" s="21"/>
      <c r="I184" s="21"/>
      <c r="J184" s="21"/>
      <c r="K184" s="21"/>
      <c r="L184" s="21"/>
      <c r="M184" s="15"/>
      <c r="N184" s="42"/>
      <c r="O184" s="86">
        <f t="shared" si="48"/>
        <v>0.01223646618543476</v>
      </c>
      <c r="P184" s="86">
        <f t="shared" si="48"/>
        <v>2.1900963989698954</v>
      </c>
      <c r="Q184" s="86">
        <f t="shared" si="48"/>
        <v>105.46470318664878</v>
      </c>
      <c r="R184" s="86">
        <f t="shared" si="48"/>
        <v>2326.3354766879515</v>
      </c>
      <c r="S184" s="86">
        <f t="shared" si="48"/>
        <v>30560.5943051816</v>
      </c>
      <c r="T184" s="86">
        <f t="shared" si="48"/>
        <v>277507.90448056074</v>
      </c>
      <c r="U184" s="87">
        <f t="shared" si="48"/>
        <v>1911125.9907064359</v>
      </c>
      <c r="V184" s="15"/>
      <c r="W184" s="96">
        <f t="shared" si="36"/>
        <v>3570.674594112091</v>
      </c>
      <c r="X184" s="97">
        <f t="shared" si="37"/>
        <v>48671.88328254957</v>
      </c>
      <c r="Y184" s="98">
        <f t="shared" si="38"/>
        <v>3284.155692088544</v>
      </c>
      <c r="Z184" s="97">
        <f t="shared" si="39"/>
        <v>45009.887850515166</v>
      </c>
      <c r="AA184" s="98">
        <f t="shared" si="40"/>
        <v>3264.147115848485</v>
      </c>
      <c r="AB184" s="98">
        <f t="shared" si="41"/>
        <v>44753.40357435906</v>
      </c>
      <c r="AC184" s="91"/>
      <c r="AD184" s="92">
        <f t="shared" si="42"/>
        <v>3264.0496637409865</v>
      </c>
    </row>
    <row r="185" spans="1:30" ht="11.25">
      <c r="A185" s="15"/>
      <c r="B185" s="93">
        <f>IF(C185&gt;$K$1,0,'Ranges and Data'!$A$10)</f>
        <v>535.2234266961229</v>
      </c>
      <c r="C185" s="94">
        <f t="shared" si="43"/>
        <v>36430.33333333311</v>
      </c>
      <c r="D185" s="85">
        <f t="shared" si="35"/>
        <v>15.333333333333945</v>
      </c>
      <c r="E185" s="15"/>
      <c r="F185" s="21"/>
      <c r="G185" s="21"/>
      <c r="H185" s="21"/>
      <c r="I185" s="21"/>
      <c r="J185" s="21"/>
      <c r="K185" s="21"/>
      <c r="L185" s="21"/>
      <c r="M185" s="15"/>
      <c r="N185" s="42"/>
      <c r="O185" s="86">
        <f t="shared" si="48"/>
        <v>0.012964084328843547</v>
      </c>
      <c r="P185" s="86">
        <f t="shared" si="48"/>
        <v>2.2561695199824965</v>
      </c>
      <c r="Q185" s="86">
        <f t="shared" si="48"/>
        <v>106.39476482839498</v>
      </c>
      <c r="R185" s="86">
        <f t="shared" si="48"/>
        <v>2307.9317051706034</v>
      </c>
      <c r="S185" s="86">
        <f t="shared" si="48"/>
        <v>29899.678342494986</v>
      </c>
      <c r="T185" s="86">
        <f t="shared" si="48"/>
        <v>268287.90019903425</v>
      </c>
      <c r="U185" s="87">
        <f t="shared" si="48"/>
        <v>1828459.0653871235</v>
      </c>
      <c r="V185" s="15"/>
      <c r="W185" s="96">
        <f t="shared" si="36"/>
        <v>3534.232013130039</v>
      </c>
      <c r="X185" s="97">
        <f t="shared" si="37"/>
        <v>47914.728147358765</v>
      </c>
      <c r="Y185" s="98">
        <f t="shared" si="38"/>
        <v>3252.107403783969</v>
      </c>
      <c r="Z185" s="97">
        <f t="shared" si="39"/>
        <v>44329.738356335954</v>
      </c>
      <c r="AA185" s="98">
        <f t="shared" si="40"/>
        <v>3232.400854248015</v>
      </c>
      <c r="AB185" s="98">
        <f t="shared" si="41"/>
        <v>44078.58586365789</v>
      </c>
      <c r="AC185" s="91"/>
      <c r="AD185" s="92">
        <f t="shared" si="42"/>
        <v>3232.3048715720274</v>
      </c>
    </row>
    <row r="186" spans="1:30" ht="11.25">
      <c r="A186" s="15"/>
      <c r="B186" s="93">
        <f>IF(C186&gt;$K$1,0,'Ranges and Data'!$A$10)</f>
        <v>535.2234266961229</v>
      </c>
      <c r="C186" s="94">
        <f t="shared" si="43"/>
        <v>36460.749999999774</v>
      </c>
      <c r="D186" s="85">
        <f t="shared" si="35"/>
        <v>15.250000000000618</v>
      </c>
      <c r="E186" s="15"/>
      <c r="F186" s="21"/>
      <c r="G186" s="21"/>
      <c r="H186" s="21"/>
      <c r="I186" s="21"/>
      <c r="J186" s="21"/>
      <c r="K186" s="21"/>
      <c r="L186" s="21"/>
      <c r="M186" s="15"/>
      <c r="N186" s="42"/>
      <c r="O186" s="86">
        <f t="shared" si="48"/>
        <v>0.013734968898571362</v>
      </c>
      <c r="P186" s="86">
        <f t="shared" si="48"/>
        <v>2.3242360040828616</v>
      </c>
      <c r="Q186" s="86">
        <f t="shared" si="48"/>
        <v>107.33302840530348</v>
      </c>
      <c r="R186" s="86">
        <f t="shared" si="48"/>
        <v>2289.6735269305177</v>
      </c>
      <c r="S186" s="86">
        <f t="shared" si="48"/>
        <v>29253.055619834104</v>
      </c>
      <c r="T186" s="86">
        <f t="shared" si="48"/>
        <v>259374.22405295487</v>
      </c>
      <c r="U186" s="87">
        <f t="shared" si="48"/>
        <v>1749367.9485571417</v>
      </c>
      <c r="V186" s="15"/>
      <c r="W186" s="96">
        <f t="shared" si="36"/>
        <v>3498.161367947128</v>
      </c>
      <c r="X186" s="97">
        <f t="shared" si="37"/>
        <v>47167.958321128084</v>
      </c>
      <c r="Y186" s="98">
        <f t="shared" si="38"/>
        <v>3220.371857285675</v>
      </c>
      <c r="Z186" s="97">
        <f t="shared" si="39"/>
        <v>43658.5771024535</v>
      </c>
      <c r="AA186" s="98">
        <f t="shared" si="40"/>
        <v>3200.9633486839107</v>
      </c>
      <c r="AB186" s="98">
        <f t="shared" si="41"/>
        <v>43412.66113315074</v>
      </c>
      <c r="AC186" s="91"/>
      <c r="AD186" s="92">
        <f t="shared" si="42"/>
        <v>3200.8688160748925</v>
      </c>
    </row>
    <row r="187" spans="1:30" ht="11.25">
      <c r="A187" s="15"/>
      <c r="B187" s="93">
        <f>IF(C187&gt;$K$1,0,'Ranges and Data'!$A$10)</f>
        <v>535.2234266961229</v>
      </c>
      <c r="C187" s="94">
        <f t="shared" si="43"/>
        <v>36491.16666666644</v>
      </c>
      <c r="D187" s="85">
        <f t="shared" si="35"/>
        <v>15.166666666667291</v>
      </c>
      <c r="E187" s="15"/>
      <c r="F187" s="21"/>
      <c r="G187" s="21"/>
      <c r="H187" s="21"/>
      <c r="I187" s="21"/>
      <c r="J187" s="21"/>
      <c r="K187" s="21"/>
      <c r="L187" s="21"/>
      <c r="M187" s="15"/>
      <c r="N187" s="42"/>
      <c r="O187" s="86">
        <f t="shared" si="48"/>
        <v>0.01455169265020902</v>
      </c>
      <c r="P187" s="86">
        <f t="shared" si="48"/>
        <v>2.3943559891355024</v>
      </c>
      <c r="Q187" s="86">
        <f t="shared" si="48"/>
        <v>108.27956624778484</v>
      </c>
      <c r="R187" s="86">
        <f t="shared" si="48"/>
        <v>2271.559790171044</v>
      </c>
      <c r="S187" s="86">
        <f t="shared" si="48"/>
        <v>28620.417025720435</v>
      </c>
      <c r="T187" s="86">
        <f t="shared" si="48"/>
        <v>250756.69850620616</v>
      </c>
      <c r="U187" s="87">
        <f t="shared" si="48"/>
        <v>1673697.966430052</v>
      </c>
      <c r="V187" s="15"/>
      <c r="W187" s="96">
        <f t="shared" si="36"/>
        <v>3462.4588625578344</v>
      </c>
      <c r="X187" s="97">
        <f t="shared" si="37"/>
        <v>46431.44068564337</v>
      </c>
      <c r="Y187" s="98">
        <f t="shared" si="38"/>
        <v>3188.946000716556</v>
      </c>
      <c r="Z187" s="97">
        <f t="shared" si="39"/>
        <v>42996.29343508476</v>
      </c>
      <c r="AA187" s="98">
        <f t="shared" si="40"/>
        <v>3169.8315962737797</v>
      </c>
      <c r="AB187" s="98">
        <f t="shared" si="41"/>
        <v>42755.52023220895</v>
      </c>
      <c r="AC187" s="91"/>
      <c r="AD187" s="92">
        <f t="shared" si="42"/>
        <v>3169.738494604863</v>
      </c>
    </row>
    <row r="188" spans="1:30" ht="11.25">
      <c r="A188" s="15"/>
      <c r="B188" s="93">
        <f>IF(C188&gt;$K$1,0,'Ranges and Data'!$A$10)</f>
        <v>535.2234266961229</v>
      </c>
      <c r="C188" s="94">
        <f t="shared" si="43"/>
        <v>36521.5833333331</v>
      </c>
      <c r="D188" s="85">
        <f t="shared" si="35"/>
        <v>15.083333333333965</v>
      </c>
      <c r="E188" s="15"/>
      <c r="F188" s="21"/>
      <c r="G188" s="21"/>
      <c r="H188" s="21"/>
      <c r="I188" s="21"/>
      <c r="J188" s="21"/>
      <c r="K188" s="21"/>
      <c r="L188" s="21"/>
      <c r="M188" s="15"/>
      <c r="N188" s="42"/>
      <c r="O188" s="86">
        <f t="shared" si="48"/>
        <v>0.01541698132335581</v>
      </c>
      <c r="P188" s="86">
        <f t="shared" si="48"/>
        <v>2.466591427306994</v>
      </c>
      <c r="Q188" s="86">
        <f t="shared" si="48"/>
        <v>109.2344513241099</v>
      </c>
      <c r="R188" s="86">
        <f t="shared" si="48"/>
        <v>2253.5893522074607</v>
      </c>
      <c r="S188" s="86">
        <f t="shared" si="48"/>
        <v>28001.460133647182</v>
      </c>
      <c r="T188" s="86">
        <f t="shared" si="48"/>
        <v>242425.4841641274</v>
      </c>
      <c r="U188" s="87">
        <f t="shared" si="48"/>
        <v>1601301.1357287883</v>
      </c>
      <c r="V188" s="15"/>
      <c r="W188" s="96">
        <f t="shared" si="36"/>
        <v>3427.1207396989626</v>
      </c>
      <c r="X188" s="97">
        <f t="shared" si="37"/>
        <v>45705.04375814457</v>
      </c>
      <c r="Y188" s="98">
        <f t="shared" si="38"/>
        <v>3157.826811981112</v>
      </c>
      <c r="Z188" s="97">
        <f t="shared" si="39"/>
        <v>42342.77800413951</v>
      </c>
      <c r="AA188" s="98">
        <f t="shared" si="40"/>
        <v>3139.002623340498</v>
      </c>
      <c r="AB188" s="98">
        <f t="shared" si="41"/>
        <v>42107.05529215823</v>
      </c>
      <c r="AC188" s="91"/>
      <c r="AD188" s="92">
        <f t="shared" si="42"/>
        <v>3138.9109337196974</v>
      </c>
    </row>
    <row r="189" spans="1:30" ht="11.25">
      <c r="A189" s="15"/>
      <c r="B189" s="93">
        <f>IF(C189&gt;$K$1,0,'Ranges and Data'!$A$10)</f>
        <v>535.2234266961229</v>
      </c>
      <c r="C189" s="94">
        <f t="shared" si="43"/>
        <v>36551.99999999977</v>
      </c>
      <c r="D189" s="85">
        <f t="shared" si="35"/>
        <v>15.000000000000638</v>
      </c>
      <c r="E189" s="15"/>
      <c r="F189" s="21"/>
      <c r="G189" s="21"/>
      <c r="H189" s="21"/>
      <c r="I189" s="21"/>
      <c r="J189" s="21"/>
      <c r="K189" s="21"/>
      <c r="L189" s="21"/>
      <c r="M189" s="15"/>
      <c r="N189" s="42"/>
      <c r="O189" s="86">
        <f aca="true" t="shared" si="49" ref="O189:U198">$B189*O$7^$D189</f>
        <v>0.016333722738521926</v>
      </c>
      <c r="P189" s="86">
        <f t="shared" si="49"/>
        <v>2.541006139801732</v>
      </c>
      <c r="Q189" s="86">
        <f t="shared" si="49"/>
        <v>110.19775724603475</v>
      </c>
      <c r="R189" s="86">
        <f t="shared" si="49"/>
        <v>2235.7610793948897</v>
      </c>
      <c r="S189" s="86">
        <f t="shared" si="49"/>
        <v>27395.88905750738</v>
      </c>
      <c r="T189" s="86">
        <f t="shared" si="49"/>
        <v>234371.06853900052</v>
      </c>
      <c r="U189" s="87">
        <f t="shared" si="49"/>
        <v>1532035.8742835745</v>
      </c>
      <c r="V189" s="15"/>
      <c r="W189" s="96">
        <f t="shared" si="36"/>
        <v>3392.143280454233</v>
      </c>
      <c r="X189" s="97">
        <f t="shared" si="37"/>
        <v>44988.63767180872</v>
      </c>
      <c r="Y189" s="98">
        <f t="shared" si="38"/>
        <v>3127.011298474829</v>
      </c>
      <c r="Z189" s="97">
        <f t="shared" si="39"/>
        <v>41697.922748313555</v>
      </c>
      <c r="AA189" s="98">
        <f t="shared" si="40"/>
        <v>3108.473485128163</v>
      </c>
      <c r="AB189" s="98">
        <f t="shared" si="41"/>
        <v>41467.1597116672</v>
      </c>
      <c r="AC189" s="91"/>
      <c r="AD189" s="92">
        <f t="shared" si="42"/>
        <v>3108.3831888956192</v>
      </c>
    </row>
    <row r="190" spans="1:30" ht="11.25">
      <c r="A190" s="15"/>
      <c r="B190" s="93">
        <f>IF(C190&gt;$K$1,0,'Ranges and Data'!$A$10)</f>
        <v>535.2234266961229</v>
      </c>
      <c r="C190" s="94">
        <f t="shared" si="43"/>
        <v>36582.41666666643</v>
      </c>
      <c r="D190" s="85">
        <f t="shared" si="35"/>
        <v>14.916666666667311</v>
      </c>
      <c r="E190" s="15"/>
      <c r="F190" s="21"/>
      <c r="G190" s="21"/>
      <c r="H190" s="21"/>
      <c r="I190" s="21"/>
      <c r="J190" s="21"/>
      <c r="K190" s="21"/>
      <c r="L190" s="21"/>
      <c r="M190" s="15"/>
      <c r="N190" s="42"/>
      <c r="O190" s="86">
        <f t="shared" si="49"/>
        <v>0.017304976434961133</v>
      </c>
      <c r="P190" s="86">
        <f t="shared" si="49"/>
        <v>2.617665873249013</v>
      </c>
      <c r="Q190" s="86">
        <f t="shared" si="49"/>
        <v>111.16955827447563</v>
      </c>
      <c r="R190" s="86">
        <f t="shared" si="49"/>
        <v>2218.0738470567817</v>
      </c>
      <c r="S190" s="86">
        <f t="shared" si="49"/>
        <v>26803.41431014853</v>
      </c>
      <c r="T190" s="86">
        <f t="shared" si="49"/>
        <v>226584.25518879952</v>
      </c>
      <c r="U190" s="87">
        <f t="shared" si="49"/>
        <v>1465766.7241481128</v>
      </c>
      <c r="V190" s="15"/>
      <c r="W190" s="96">
        <f t="shared" si="36"/>
        <v>3357.522803862913</v>
      </c>
      <c r="X190" s="97">
        <f t="shared" si="37"/>
        <v>44282.0941564609</v>
      </c>
      <c r="Y190" s="98">
        <f t="shared" si="38"/>
        <v>3096.496496796394</v>
      </c>
      <c r="Z190" s="97">
        <f t="shared" si="39"/>
        <v>41061.62088034877</v>
      </c>
      <c r="AA190" s="98">
        <f t="shared" si="40"/>
        <v>3078.241265520821</v>
      </c>
      <c r="AB190" s="98">
        <f t="shared" si="41"/>
        <v>40835.72814229913</v>
      </c>
      <c r="AC190" s="91"/>
      <c r="AD190" s="92">
        <f t="shared" si="42"/>
        <v>3078.1523442460675</v>
      </c>
    </row>
    <row r="191" spans="1:30" ht="11.25">
      <c r="A191" s="15"/>
      <c r="B191" s="93">
        <f>IF(C191&gt;$K$1,0,'Ranges and Data'!$A$10)</f>
        <v>535.2234266961229</v>
      </c>
      <c r="C191" s="94">
        <f t="shared" si="43"/>
        <v>36612.833333333096</v>
      </c>
      <c r="D191" s="85">
        <f t="shared" si="35"/>
        <v>14.833333333333984</v>
      </c>
      <c r="E191" s="15"/>
      <c r="F191" s="21"/>
      <c r="G191" s="21"/>
      <c r="H191" s="21"/>
      <c r="I191" s="21"/>
      <c r="J191" s="21"/>
      <c r="K191" s="21"/>
      <c r="L191" s="21"/>
      <c r="M191" s="15"/>
      <c r="N191" s="42"/>
      <c r="O191" s="86">
        <f t="shared" si="49"/>
        <v>0.018333983881598546</v>
      </c>
      <c r="P191" s="86">
        <f t="shared" si="49"/>
        <v>2.6966383577912887</v>
      </c>
      <c r="Q191" s="86">
        <f t="shared" si="49"/>
        <v>112.14992932523347</v>
      </c>
      <c r="R191" s="86">
        <f t="shared" si="49"/>
        <v>2200.5265394139665</v>
      </c>
      <c r="S191" s="86">
        <f t="shared" si="49"/>
        <v>26223.752664986194</v>
      </c>
      <c r="T191" s="86">
        <f t="shared" si="49"/>
        <v>219056.15321679402</v>
      </c>
      <c r="U191" s="87">
        <f t="shared" si="49"/>
        <v>1402364.0866925372</v>
      </c>
      <c r="V191" s="15"/>
      <c r="W191" s="96">
        <f t="shared" si="36"/>
        <v>3323.255666532443</v>
      </c>
      <c r="X191" s="97">
        <f t="shared" si="37"/>
        <v>43585.28651951082</v>
      </c>
      <c r="Y191" s="98">
        <f t="shared" si="38"/>
        <v>3066.279472462713</v>
      </c>
      <c r="Z191" s="97">
        <f t="shared" si="39"/>
        <v>40433.766872458014</v>
      </c>
      <c r="AA191" s="98">
        <f t="shared" si="40"/>
        <v>3048.3030767639125</v>
      </c>
      <c r="AB191" s="98">
        <f t="shared" si="41"/>
        <v>40212.65647422455</v>
      </c>
      <c r="AC191" s="91"/>
      <c r="AD191" s="92">
        <f t="shared" si="42"/>
        <v>3048.215512243183</v>
      </c>
    </row>
    <row r="192" spans="1:30" ht="11.25">
      <c r="A192" s="15"/>
      <c r="B192" s="93">
        <f>IF(C192&gt;$K$1,0,'Ranges and Data'!$A$10)</f>
        <v>535.2234266961229</v>
      </c>
      <c r="C192" s="94">
        <f t="shared" si="43"/>
        <v>36643.24999999976</v>
      </c>
      <c r="D192" s="85">
        <f t="shared" si="35"/>
        <v>14.750000000000657</v>
      </c>
      <c r="E192" s="15"/>
      <c r="F192" s="21"/>
      <c r="G192" s="21"/>
      <c r="H192" s="21"/>
      <c r="I192" s="21"/>
      <c r="J192" s="21"/>
      <c r="K192" s="21"/>
      <c r="L192" s="21"/>
      <c r="M192" s="15"/>
      <c r="N192" s="42"/>
      <c r="O192" s="86">
        <f t="shared" si="49"/>
        <v>0.019424179295131735</v>
      </c>
      <c r="P192" s="86">
        <f t="shared" si="49"/>
        <v>2.777993366924846</v>
      </c>
      <c r="Q192" s="86">
        <f t="shared" si="49"/>
        <v>113.13894597476929</v>
      </c>
      <c r="R192" s="86">
        <f t="shared" si="49"/>
        <v>2183.1180495142667</v>
      </c>
      <c r="S192" s="86">
        <f t="shared" si="49"/>
        <v>25656.627020610333</v>
      </c>
      <c r="T192" s="86">
        <f t="shared" si="49"/>
        <v>211778.16712002287</v>
      </c>
      <c r="U192" s="87">
        <f t="shared" si="49"/>
        <v>1341703.969155103</v>
      </c>
      <c r="V192" s="15"/>
      <c r="W192" s="96">
        <f t="shared" si="36"/>
        <v>3289.338262255006</v>
      </c>
      <c r="X192" s="97">
        <f t="shared" si="37"/>
        <v>42898.08962711185</v>
      </c>
      <c r="Y192" s="98">
        <f t="shared" si="38"/>
        <v>3036.357319626715</v>
      </c>
      <c r="Z192" s="97">
        <f t="shared" si="39"/>
        <v>39814.256441913225</v>
      </c>
      <c r="AA192" s="98">
        <f t="shared" si="40"/>
        <v>3018.656059188447</v>
      </c>
      <c r="AB192" s="98">
        <f t="shared" si="41"/>
        <v>39597.84182209355</v>
      </c>
      <c r="AC192" s="91"/>
      <c r="AD192" s="92">
        <f t="shared" si="42"/>
        <v>3018.569833442006</v>
      </c>
    </row>
    <row r="193" spans="1:30" ht="11.25">
      <c r="A193" s="15"/>
      <c r="B193" s="93">
        <f>IF(C193&gt;$K$1,0,'Ranges and Data'!$A$10)</f>
        <v>535.2234266961229</v>
      </c>
      <c r="C193" s="94">
        <f t="shared" si="43"/>
        <v>36673.666666666424</v>
      </c>
      <c r="D193" s="85">
        <f t="shared" si="35"/>
        <v>14.66666666666733</v>
      </c>
      <c r="E193" s="15"/>
      <c r="F193" s="21"/>
      <c r="G193" s="21"/>
      <c r="H193" s="21"/>
      <c r="I193" s="21"/>
      <c r="J193" s="21"/>
      <c r="K193" s="21"/>
      <c r="L193" s="21"/>
      <c r="M193" s="15"/>
      <c r="N193" s="42"/>
      <c r="O193" s="86">
        <f t="shared" si="49"/>
        <v>0.02057920110140995</v>
      </c>
      <c r="P193" s="86">
        <f t="shared" si="49"/>
        <v>2.8618027791458633</v>
      </c>
      <c r="Q193" s="86">
        <f t="shared" si="49"/>
        <v>114.1366844660302</v>
      </c>
      <c r="R193" s="86">
        <f t="shared" si="49"/>
        <v>2165.8472791626655</v>
      </c>
      <c r="S193" s="86">
        <f t="shared" si="49"/>
        <v>25101.76626831981</v>
      </c>
      <c r="T193" s="86">
        <f t="shared" si="49"/>
        <v>204741.98697504532</v>
      </c>
      <c r="U193" s="87">
        <f t="shared" si="49"/>
        <v>1283667.7421569177</v>
      </c>
      <c r="V193" s="15"/>
      <c r="W193" s="96">
        <f t="shared" si="36"/>
        <v>3255.767021628024</v>
      </c>
      <c r="X193" s="97">
        <f t="shared" si="37"/>
        <v>42220.37988554068</v>
      </c>
      <c r="Y193" s="98">
        <f t="shared" si="38"/>
        <v>3006.727160797911</v>
      </c>
      <c r="Z193" s="97">
        <f t="shared" si="39"/>
        <v>39202.98653679491</v>
      </c>
      <c r="AA193" s="98">
        <f t="shared" si="40"/>
        <v>2989.297380937841</v>
      </c>
      <c r="AB193" s="98">
        <f t="shared" si="41"/>
        <v>38991.18251106551</v>
      </c>
      <c r="AC193" s="91"/>
      <c r="AD193" s="92">
        <f t="shared" si="42"/>
        <v>2989.212476207349</v>
      </c>
    </row>
    <row r="194" spans="1:30" ht="11.25">
      <c r="A194" s="15"/>
      <c r="B194" s="93">
        <f>IF(C194&gt;$K$1,0,'Ranges and Data'!$A$10)</f>
        <v>535.2234266961229</v>
      </c>
      <c r="C194" s="94">
        <f t="shared" si="43"/>
        <v>36704.08333333309</v>
      </c>
      <c r="D194" s="85">
        <f t="shared" si="35"/>
        <v>14.583333333334004</v>
      </c>
      <c r="E194" s="15"/>
      <c r="F194" s="21"/>
      <c r="G194" s="21"/>
      <c r="H194" s="21"/>
      <c r="I194" s="21"/>
      <c r="J194" s="21"/>
      <c r="K194" s="21"/>
      <c r="L194" s="21"/>
      <c r="M194" s="15"/>
      <c r="N194" s="42"/>
      <c r="O194" s="86">
        <f t="shared" si="49"/>
        <v>0.021802904078341897</v>
      </c>
      <c r="P194" s="86">
        <f t="shared" si="49"/>
        <v>2.9481406414562352</v>
      </c>
      <c r="Q194" s="86">
        <f t="shared" si="49"/>
        <v>115.14322171432717</v>
      </c>
      <c r="R194" s="86">
        <f t="shared" si="49"/>
        <v>2148.7131388520306</v>
      </c>
      <c r="S194" s="86">
        <f t="shared" si="49"/>
        <v>24558.905162521598</v>
      </c>
      <c r="T194" s="86">
        <f t="shared" si="49"/>
        <v>197939.5789497617</v>
      </c>
      <c r="U194" s="87">
        <f t="shared" si="49"/>
        <v>1228141.907705536</v>
      </c>
      <c r="V194" s="15"/>
      <c r="W194" s="96">
        <f t="shared" si="36"/>
        <v>3222.538411678514</v>
      </c>
      <c r="X194" s="97">
        <f t="shared" si="37"/>
        <v>41552.03522279442</v>
      </c>
      <c r="Y194" s="98">
        <f t="shared" si="38"/>
        <v>2977.386146565675</v>
      </c>
      <c r="Z194" s="97">
        <f t="shared" si="39"/>
        <v>38599.85532190107</v>
      </c>
      <c r="AA194" s="98">
        <f t="shared" si="40"/>
        <v>2960.2242376974245</v>
      </c>
      <c r="AB194" s="98">
        <f t="shared" si="41"/>
        <v>38392.578062994835</v>
      </c>
      <c r="AC194" s="91"/>
      <c r="AD194" s="92">
        <f t="shared" si="42"/>
        <v>2960.1406364433356</v>
      </c>
    </row>
    <row r="195" spans="1:30" ht="11.25">
      <c r="A195" s="15"/>
      <c r="B195" s="93">
        <f>IF(C195&gt;$K$1,0,'Ranges and Data'!$A$10)</f>
        <v>535.2234266961229</v>
      </c>
      <c r="C195" s="94">
        <f t="shared" si="43"/>
        <v>36734.49999999975</v>
      </c>
      <c r="D195" s="85">
        <f t="shared" si="35"/>
        <v>14.500000000000679</v>
      </c>
      <c r="E195" s="15"/>
      <c r="F195" s="21"/>
      <c r="G195" s="21"/>
      <c r="H195" s="21"/>
      <c r="I195" s="21"/>
      <c r="J195" s="21"/>
      <c r="K195" s="21"/>
      <c r="L195" s="21"/>
      <c r="M195" s="15"/>
      <c r="N195" s="42"/>
      <c r="O195" s="86">
        <f t="shared" si="49"/>
        <v>0.023099372220858883</v>
      </c>
      <c r="P195" s="86">
        <f t="shared" si="49"/>
        <v>3.037083234785335</v>
      </c>
      <c r="Q195" s="86">
        <f t="shared" si="49"/>
        <v>116.15863531326413</v>
      </c>
      <c r="R195" s="86">
        <f t="shared" si="49"/>
        <v>2131.71454769438</v>
      </c>
      <c r="S195" s="86">
        <f t="shared" si="49"/>
        <v>24027.784193932803</v>
      </c>
      <c r="T195" s="86">
        <f t="shared" si="49"/>
        <v>191363.17613047495</v>
      </c>
      <c r="U195" s="87">
        <f t="shared" si="49"/>
        <v>1175017.8772336983</v>
      </c>
      <c r="V195" s="15"/>
      <c r="W195" s="96">
        <f t="shared" si="36"/>
        <v>3189.6489354912933</v>
      </c>
      <c r="X195" s="97">
        <f t="shared" si="37"/>
        <v>40892.93507040311</v>
      </c>
      <c r="Y195" s="98">
        <f t="shared" si="38"/>
        <v>2948.33145532523</v>
      </c>
      <c r="Z195" s="97">
        <f t="shared" si="39"/>
        <v>38004.762164814085</v>
      </c>
      <c r="AA195" s="98">
        <f t="shared" si="40"/>
        <v>2931.43385242658</v>
      </c>
      <c r="AB195" s="98">
        <f t="shared" si="41"/>
        <v>37801.929182770946</v>
      </c>
      <c r="AC195" s="91"/>
      <c r="AD195" s="92">
        <f t="shared" si="42"/>
        <v>2931.35153732556</v>
      </c>
    </row>
    <row r="196" spans="1:30" ht="11.25">
      <c r="A196" s="15"/>
      <c r="B196" s="93">
        <f>IF(C196&gt;$K$1,0,'Ranges and Data'!$A$10)</f>
        <v>535.2234266961229</v>
      </c>
      <c r="C196" s="94">
        <f t="shared" si="43"/>
        <v>36764.91666666642</v>
      </c>
      <c r="D196" s="85">
        <f t="shared" si="35"/>
        <v>14.416666666667352</v>
      </c>
      <c r="E196" s="15"/>
      <c r="F196" s="21"/>
      <c r="G196" s="21"/>
      <c r="H196" s="21"/>
      <c r="I196" s="21"/>
      <c r="J196" s="21"/>
      <c r="K196" s="21"/>
      <c r="L196" s="21"/>
      <c r="M196" s="15"/>
      <c r="N196" s="42"/>
      <c r="O196" s="86">
        <f t="shared" si="49"/>
        <v>0.024472932370868172</v>
      </c>
      <c r="P196" s="86">
        <f t="shared" si="49"/>
        <v>3.1287091413854733</v>
      </c>
      <c r="Q196" s="86">
        <f t="shared" si="49"/>
        <v>117.18300354071987</v>
      </c>
      <c r="R196" s="86">
        <f t="shared" si="49"/>
        <v>2114.850433352699</v>
      </c>
      <c r="S196" s="86">
        <f t="shared" si="49"/>
        <v>23508.149465524817</v>
      </c>
      <c r="T196" s="86">
        <f t="shared" si="49"/>
        <v>185005.2696537132</v>
      </c>
      <c r="U196" s="87">
        <f t="shared" si="49"/>
        <v>1124191.759239128</v>
      </c>
      <c r="V196" s="15"/>
      <c r="W196" s="96">
        <f t="shared" si="36"/>
        <v>3157.0951318409598</v>
      </c>
      <c r="X196" s="97">
        <f t="shared" si="37"/>
        <v>40242.96034545476</v>
      </c>
      <c r="Y196" s="98">
        <f t="shared" si="38"/>
        <v>2919.560293006302</v>
      </c>
      <c r="Z196" s="97">
        <f t="shared" si="39"/>
        <v>37417.60762212349</v>
      </c>
      <c r="AA196" s="98">
        <f t="shared" si="40"/>
        <v>2902.923475093474</v>
      </c>
      <c r="AB196" s="98">
        <f t="shared" si="41"/>
        <v>37219.137744810614</v>
      </c>
      <c r="AC196" s="91"/>
      <c r="AD196" s="92">
        <f t="shared" si="42"/>
        <v>2902.842429035858</v>
      </c>
    </row>
    <row r="197" spans="1:30" ht="11.25">
      <c r="A197" s="15"/>
      <c r="B197" s="93">
        <f>IF(C197&gt;$K$1,0,'Ranges and Data'!$A$10)</f>
        <v>535.2234266961229</v>
      </c>
      <c r="C197" s="94">
        <f t="shared" si="43"/>
        <v>36795.33333333308</v>
      </c>
      <c r="D197" s="85">
        <f t="shared" si="35"/>
        <v>14.333333333334025</v>
      </c>
      <c r="E197" s="15"/>
      <c r="F197" s="21"/>
      <c r="G197" s="21"/>
      <c r="H197" s="21"/>
      <c r="I197" s="21"/>
      <c r="J197" s="21"/>
      <c r="K197" s="21"/>
      <c r="L197" s="21"/>
      <c r="M197" s="15"/>
      <c r="N197" s="42"/>
      <c r="O197" s="86">
        <f t="shared" si="49"/>
        <v>0.025928168657685623</v>
      </c>
      <c r="P197" s="86">
        <f t="shared" si="49"/>
        <v>3.223099314260618</v>
      </c>
      <c r="Q197" s="86">
        <f t="shared" si="49"/>
        <v>118.2164053648823</v>
      </c>
      <c r="R197" s="86">
        <f t="shared" si="49"/>
        <v>2098.1197319732914</v>
      </c>
      <c r="S197" s="86">
        <f t="shared" si="49"/>
        <v>22999.752571150464</v>
      </c>
      <c r="T197" s="86">
        <f t="shared" si="49"/>
        <v>178858.60013269534</v>
      </c>
      <c r="U197" s="87">
        <f t="shared" si="49"/>
        <v>1075564.1561101186</v>
      </c>
      <c r="V197" s="15"/>
      <c r="W197" s="96">
        <f t="shared" si="36"/>
        <v>3124.8735748276513</v>
      </c>
      <c r="X197" s="97">
        <f t="shared" si="37"/>
        <v>39601.993432830976</v>
      </c>
      <c r="Y197" s="98">
        <f t="shared" si="38"/>
        <v>2891.0698928044308</v>
      </c>
      <c r="Z197" s="97">
        <f t="shared" si="39"/>
        <v>36838.293425803284</v>
      </c>
      <c r="AA197" s="98">
        <f t="shared" si="40"/>
        <v>2874.6903824123838</v>
      </c>
      <c r="AB197" s="98">
        <f t="shared" si="41"/>
        <v>36644.1067797014</v>
      </c>
      <c r="AC197" s="91"/>
      <c r="AD197" s="92">
        <f t="shared" si="42"/>
        <v>2874.6105884996564</v>
      </c>
    </row>
    <row r="198" spans="1:30" ht="11.25">
      <c r="A198" s="15"/>
      <c r="B198" s="93">
        <f>IF(C198&gt;$K$1,0,'Ranges and Data'!$A$10)</f>
        <v>535.2234266961229</v>
      </c>
      <c r="C198" s="94">
        <f t="shared" si="43"/>
        <v>36825.749999999745</v>
      </c>
      <c r="D198" s="85">
        <f t="shared" si="35"/>
        <v>14.250000000000698</v>
      </c>
      <c r="E198" s="15"/>
      <c r="F198" s="21"/>
      <c r="G198" s="21"/>
      <c r="H198" s="21"/>
      <c r="I198" s="21"/>
      <c r="J198" s="21"/>
      <c r="K198" s="21"/>
      <c r="L198" s="21"/>
      <c r="M198" s="15"/>
      <c r="N198" s="42"/>
      <c r="O198" s="86">
        <f t="shared" si="49"/>
        <v>0.02746993779714121</v>
      </c>
      <c r="P198" s="86">
        <f t="shared" si="49"/>
        <v>3.3203371486897044</v>
      </c>
      <c r="Q198" s="86">
        <f t="shared" si="49"/>
        <v>119.2589204503362</v>
      </c>
      <c r="R198" s="86">
        <f t="shared" si="49"/>
        <v>2081.521388118668</v>
      </c>
      <c r="S198" s="86">
        <f t="shared" si="49"/>
        <v>22502.350476795942</v>
      </c>
      <c r="T198" s="86">
        <f t="shared" si="49"/>
        <v>172916.14936864204</v>
      </c>
      <c r="U198" s="87">
        <f t="shared" si="49"/>
        <v>1029039.9697395382</v>
      </c>
      <c r="V198" s="15"/>
      <c r="W198" s="96">
        <f t="shared" si="36"/>
        <v>3092.9808735165007</v>
      </c>
      <c r="X198" s="97">
        <f t="shared" si="37"/>
        <v>38969.918167650125</v>
      </c>
      <c r="Y198" s="98">
        <f t="shared" si="38"/>
        <v>2862.857514914894</v>
      </c>
      <c r="Z198" s="97">
        <f t="shared" si="39"/>
        <v>36266.722469741755</v>
      </c>
      <c r="AA198" s="98">
        <f t="shared" si="40"/>
        <v>2846.731877583566</v>
      </c>
      <c r="AB198" s="98">
        <f t="shared" si="41"/>
        <v>36076.74046099396</v>
      </c>
      <c r="AC198" s="91"/>
      <c r="AD198" s="92">
        <f t="shared" si="42"/>
        <v>2846.653319125874</v>
      </c>
    </row>
    <row r="199" spans="1:30" ht="11.25">
      <c r="A199" s="15"/>
      <c r="B199" s="93">
        <f>IF(C199&gt;$K$1,0,'Ranges and Data'!$A$10)</f>
        <v>535.2234266961229</v>
      </c>
      <c r="C199" s="94">
        <f t="shared" si="43"/>
        <v>36856.16666666641</v>
      </c>
      <c r="D199" s="85">
        <f t="shared" si="35"/>
        <v>14.166666666667371</v>
      </c>
      <c r="E199" s="15"/>
      <c r="F199" s="21"/>
      <c r="G199" s="21"/>
      <c r="H199" s="21"/>
      <c r="I199" s="21"/>
      <c r="J199" s="21"/>
      <c r="K199" s="21"/>
      <c r="L199" s="21"/>
      <c r="M199" s="15"/>
      <c r="N199" s="42"/>
      <c r="O199" s="86">
        <f aca="true" t="shared" si="50" ref="O199:U208">$B199*O$7^$D199</f>
        <v>0.02910338530041644</v>
      </c>
      <c r="P199" s="86">
        <f t="shared" si="50"/>
        <v>3.4205085559077633</v>
      </c>
      <c r="Q199" s="86">
        <f t="shared" si="50"/>
        <v>120.31062916420436</v>
      </c>
      <c r="R199" s="86">
        <f t="shared" si="50"/>
        <v>2065.0543547009643</v>
      </c>
      <c r="S199" s="86">
        <f t="shared" si="50"/>
        <v>22015.7054044008</v>
      </c>
      <c r="T199" s="86">
        <f t="shared" si="50"/>
        <v>167171.13233747624</v>
      </c>
      <c r="U199" s="87">
        <f t="shared" si="50"/>
        <v>984528.2155471307</v>
      </c>
      <c r="V199" s="15"/>
      <c r="W199" s="96">
        <f t="shared" si="36"/>
        <v>3061.4136715807863</v>
      </c>
      <c r="X199" s="97">
        <f t="shared" si="37"/>
        <v>38346.61981791626</v>
      </c>
      <c r="Y199" s="98">
        <f t="shared" si="38"/>
        <v>2834.9204462692346</v>
      </c>
      <c r="Z199" s="97">
        <f t="shared" si="39"/>
        <v>35702.798796422314</v>
      </c>
      <c r="AA199" s="98">
        <f t="shared" si="40"/>
        <v>2819.0452900356654</v>
      </c>
      <c r="AB199" s="98">
        <f t="shared" si="41"/>
        <v>35516.94409214219</v>
      </c>
      <c r="AC199" s="91"/>
      <c r="AD199" s="92">
        <f t="shared" si="42"/>
        <v>2818.9679505493564</v>
      </c>
    </row>
    <row r="200" spans="1:30" ht="11.25">
      <c r="A200" s="15"/>
      <c r="B200" s="93">
        <f>IF(C200&gt;$K$1,0,'Ranges and Data'!$A$10)</f>
        <v>535.2234266961229</v>
      </c>
      <c r="C200" s="94">
        <f t="shared" si="43"/>
        <v>36886.583333333074</v>
      </c>
      <c r="D200" s="85">
        <f t="shared" si="35"/>
        <v>14.083333333334044</v>
      </c>
      <c r="E200" s="15"/>
      <c r="F200" s="21"/>
      <c r="G200" s="21"/>
      <c r="H200" s="21"/>
      <c r="I200" s="21"/>
      <c r="J200" s="21"/>
      <c r="K200" s="21"/>
      <c r="L200" s="21"/>
      <c r="M200" s="15"/>
      <c r="N200" s="42"/>
      <c r="O200" s="86">
        <f t="shared" si="50"/>
        <v>0.030833962646709873</v>
      </c>
      <c r="P200" s="86">
        <f t="shared" si="50"/>
        <v>3.5237020390098914</v>
      </c>
      <c r="Q200" s="86">
        <f t="shared" si="50"/>
        <v>121.3716125823433</v>
      </c>
      <c r="R200" s="86">
        <f t="shared" si="50"/>
        <v>2048.7175929158884</v>
      </c>
      <c r="S200" s="86">
        <f t="shared" si="50"/>
        <v>21539.584718190592</v>
      </c>
      <c r="T200" s="86">
        <f t="shared" si="50"/>
        <v>161616.9894427569</v>
      </c>
      <c r="U200" s="87">
        <f t="shared" si="50"/>
        <v>941941.8445463856</v>
      </c>
      <c r="V200" s="15"/>
      <c r="W200" s="96">
        <f t="shared" si="36"/>
        <v>3030.168646948715</v>
      </c>
      <c r="X200" s="97">
        <f t="shared" si="37"/>
        <v>37731.98506737096</v>
      </c>
      <c r="Y200" s="98">
        <f t="shared" si="38"/>
        <v>2807.256000274351</v>
      </c>
      <c r="Z200" s="97">
        <f t="shared" si="39"/>
        <v>35146.427583753655</v>
      </c>
      <c r="AA200" s="98">
        <f t="shared" si="40"/>
        <v>2791.62797517062</v>
      </c>
      <c r="AB200" s="98">
        <f t="shared" si="41"/>
        <v>34964.62409358908</v>
      </c>
      <c r="AC200" s="91"/>
      <c r="AD200" s="92">
        <f t="shared" si="42"/>
        <v>2791.5518383758113</v>
      </c>
    </row>
    <row r="201" spans="1:30" ht="11.25">
      <c r="A201" s="15"/>
      <c r="B201" s="93">
        <f>IF(C201&gt;$K$1,0,'Ranges and Data'!$A$10)</f>
        <v>535.2234266961229</v>
      </c>
      <c r="C201" s="94">
        <f t="shared" si="43"/>
        <v>36916.99999999974</v>
      </c>
      <c r="D201" s="85">
        <f aca="true" t="shared" si="51" ref="D201:D264">IF(B201&lt;&gt;0,$K$1-C201,0)/365</f>
        <v>14.000000000000718</v>
      </c>
      <c r="E201" s="15"/>
      <c r="F201" s="21"/>
      <c r="G201" s="21"/>
      <c r="H201" s="21"/>
      <c r="I201" s="21"/>
      <c r="J201" s="21"/>
      <c r="K201" s="21"/>
      <c r="L201" s="21"/>
      <c r="M201" s="15"/>
      <c r="N201" s="42"/>
      <c r="O201" s="86">
        <f t="shared" si="50"/>
        <v>0.032667445477042055</v>
      </c>
      <c r="P201" s="86">
        <f t="shared" si="50"/>
        <v>3.630008771145228</v>
      </c>
      <c r="Q201" s="86">
        <f t="shared" si="50"/>
        <v>122.44195249559316</v>
      </c>
      <c r="R201" s="86">
        <f t="shared" si="50"/>
        <v>2032.5100721771882</v>
      </c>
      <c r="S201" s="86">
        <f t="shared" si="50"/>
        <v>21073.76081346766</v>
      </c>
      <c r="T201" s="86">
        <f t="shared" si="50"/>
        <v>156247.37902600545</v>
      </c>
      <c r="U201" s="87">
        <f t="shared" si="50"/>
        <v>901197.5731080227</v>
      </c>
      <c r="V201" s="15"/>
      <c r="W201" s="96">
        <f aca="true" t="shared" si="52" ref="W201:W264">$B201*I$3^$D201</f>
        <v>2999.242511453816</v>
      </c>
      <c r="X201" s="97">
        <f aca="true" t="shared" si="53" ref="X201:X264">W201*$D201/I$3</f>
        <v>37125.90199854605</v>
      </c>
      <c r="Y201" s="98">
        <f aca="true" t="shared" si="54" ref="Y201:Y264">$B201*I$4^$D201</f>
        <v>2779.8615165541455</v>
      </c>
      <c r="Z201" s="97">
        <f aca="true" t="shared" si="55" ref="Z201:Z264">Y201*$D201/I$4</f>
        <v>34597.515132047534</v>
      </c>
      <c r="AA201" s="98">
        <f aca="true" t="shared" si="56" ref="AA201:AA264">$B201*I$5^$D201</f>
        <v>2764.4773141110554</v>
      </c>
      <c r="AB201" s="98">
        <f aca="true" t="shared" si="57" ref="AB201:AB264">AA201*$D201/I$5</f>
        <v>34419.68798999699</v>
      </c>
      <c r="AC201" s="91"/>
      <c r="AD201" s="92">
        <f aca="true" t="shared" si="58" ref="AD201:AD264">$B201*(1+$D$7)^$D201</f>
        <v>2764.402363929228</v>
      </c>
    </row>
    <row r="202" spans="1:30" ht="11.25">
      <c r="A202" s="15"/>
      <c r="B202" s="93">
        <f>IF(C202&gt;$K$1,0,'Ranges and Data'!$A$10)</f>
        <v>535.2234266961229</v>
      </c>
      <c r="C202" s="94">
        <f aca="true" t="shared" si="59" ref="C202:C265">C201+(365/12)</f>
        <v>36947.4166666664</v>
      </c>
      <c r="D202" s="85">
        <f t="shared" si="51"/>
        <v>13.91666666666739</v>
      </c>
      <c r="E202" s="15"/>
      <c r="F202" s="21"/>
      <c r="G202" s="21"/>
      <c r="H202" s="21"/>
      <c r="I202" s="21"/>
      <c r="J202" s="21"/>
      <c r="K202" s="21"/>
      <c r="L202" s="21"/>
      <c r="M202" s="15"/>
      <c r="N202" s="42"/>
      <c r="O202" s="86">
        <f t="shared" si="50"/>
        <v>0.034609952869920364</v>
      </c>
      <c r="P202" s="86">
        <f t="shared" si="50"/>
        <v>3.7395226760699125</v>
      </c>
      <c r="Q202" s="86">
        <f t="shared" si="50"/>
        <v>123.521731416083</v>
      </c>
      <c r="R202" s="86">
        <f t="shared" si="50"/>
        <v>2016.430770051635</v>
      </c>
      <c r="S202" s="86">
        <f t="shared" si="50"/>
        <v>20618.011007807</v>
      </c>
      <c r="T202" s="86">
        <f t="shared" si="50"/>
        <v>151056.1701258713</v>
      </c>
      <c r="U202" s="87">
        <f t="shared" si="50"/>
        <v>862215.7200871613</v>
      </c>
      <c r="V202" s="15"/>
      <c r="W202" s="96">
        <f t="shared" si="52"/>
        <v>2968.6320104888996</v>
      </c>
      <c r="X202" s="97">
        <f t="shared" si="53"/>
        <v>36528.26007601474</v>
      </c>
      <c r="Y202" s="98">
        <f t="shared" si="54"/>
        <v>2752.73436069368</v>
      </c>
      <c r="Z202" s="97">
        <f t="shared" si="55"/>
        <v>34055.96885114261</v>
      </c>
      <c r="AA202" s="98">
        <f t="shared" si="56"/>
        <v>2737.590713450128</v>
      </c>
      <c r="AB202" s="98">
        <f t="shared" si="57"/>
        <v>33882.04439762065</v>
      </c>
      <c r="AC202" s="91"/>
      <c r="AD202" s="92">
        <f t="shared" si="58"/>
        <v>2737.5169340017515</v>
      </c>
    </row>
    <row r="203" spans="1:30" ht="11.25">
      <c r="A203" s="15"/>
      <c r="B203" s="93">
        <f>IF(C203&gt;$K$1,0,'Ranges and Data'!$A$10)</f>
        <v>535.2234266961229</v>
      </c>
      <c r="C203" s="94">
        <f t="shared" si="59"/>
        <v>36977.83333333307</v>
      </c>
      <c r="D203" s="85">
        <f t="shared" si="51"/>
        <v>13.833333333334064</v>
      </c>
      <c r="E203" s="15"/>
      <c r="F203" s="21"/>
      <c r="G203" s="21"/>
      <c r="H203" s="21"/>
      <c r="I203" s="21"/>
      <c r="J203" s="21"/>
      <c r="K203" s="21"/>
      <c r="L203" s="21"/>
      <c r="M203" s="15"/>
      <c r="N203" s="42"/>
      <c r="O203" s="86">
        <f t="shared" si="50"/>
        <v>0.03666796776319507</v>
      </c>
      <c r="P203" s="86">
        <f t="shared" si="50"/>
        <v>3.8523405111303033</v>
      </c>
      <c r="Q203" s="86">
        <f t="shared" si="50"/>
        <v>124.61103258359171</v>
      </c>
      <c r="R203" s="86">
        <f t="shared" si="50"/>
        <v>2000.4786721945302</v>
      </c>
      <c r="S203" s="86">
        <f t="shared" si="50"/>
        <v>20172.11743460519</v>
      </c>
      <c r="T203" s="86">
        <f t="shared" si="50"/>
        <v>146037.43547786732</v>
      </c>
      <c r="U203" s="87">
        <f t="shared" si="50"/>
        <v>824920.0509956453</v>
      </c>
      <c r="V203" s="15"/>
      <c r="W203" s="96">
        <f t="shared" si="52"/>
        <v>2938.3339226635503</v>
      </c>
      <c r="X203" s="97">
        <f t="shared" si="53"/>
        <v>35938.95012983902</v>
      </c>
      <c r="Y203" s="98">
        <f t="shared" si="54"/>
        <v>2725.871923985839</v>
      </c>
      <c r="Z203" s="97">
        <f t="shared" si="55"/>
        <v>33521.69724767264</v>
      </c>
      <c r="AA203" s="98">
        <f t="shared" si="56"/>
        <v>2710.965605003809</v>
      </c>
      <c r="AB203" s="98">
        <f t="shared" si="57"/>
        <v>33351.6030118213</v>
      </c>
      <c r="AC203" s="91"/>
      <c r="AD203" s="92">
        <f t="shared" si="58"/>
        <v>2710.8929806059905</v>
      </c>
    </row>
    <row r="204" spans="1:30" ht="11.25">
      <c r="A204" s="15"/>
      <c r="B204" s="93">
        <f>IF(C204&gt;$K$1,0,'Ranges and Data'!$A$10)</f>
        <v>535.2234266961229</v>
      </c>
      <c r="C204" s="94">
        <f t="shared" si="59"/>
        <v>37008.24999999973</v>
      </c>
      <c r="D204" s="85">
        <f t="shared" si="51"/>
        <v>13.750000000000737</v>
      </c>
      <c r="E204" s="15"/>
      <c r="F204" s="21"/>
      <c r="G204" s="21"/>
      <c r="H204" s="21"/>
      <c r="I204" s="21"/>
      <c r="J204" s="21"/>
      <c r="K204" s="21"/>
      <c r="L204" s="21"/>
      <c r="M204" s="15"/>
      <c r="N204" s="42"/>
      <c r="O204" s="86">
        <f t="shared" si="50"/>
        <v>0.03884835859026134</v>
      </c>
      <c r="P204" s="86">
        <f t="shared" si="50"/>
        <v>3.968561952749667</v>
      </c>
      <c r="Q204" s="86">
        <f t="shared" si="50"/>
        <v>125.7099399719648</v>
      </c>
      <c r="R204" s="86">
        <f t="shared" si="50"/>
        <v>1984.652772285712</v>
      </c>
      <c r="S204" s="86">
        <f t="shared" si="50"/>
        <v>19735.86693893144</v>
      </c>
      <c r="T204" s="86">
        <f t="shared" si="50"/>
        <v>141185.44474668652</v>
      </c>
      <c r="U204" s="87">
        <f t="shared" si="50"/>
        <v>789237.6289148001</v>
      </c>
      <c r="V204" s="15"/>
      <c r="W204" s="96">
        <f t="shared" si="52"/>
        <v>2908.345059465109</v>
      </c>
      <c r="X204" s="97">
        <f t="shared" si="53"/>
        <v>35357.864339210784</v>
      </c>
      <c r="Y204" s="98">
        <f t="shared" si="54"/>
        <v>2699.271623180463</v>
      </c>
      <c r="Z204" s="97">
        <f t="shared" si="55"/>
        <v>32994.60991247765</v>
      </c>
      <c r="AA204" s="98">
        <f t="shared" si="56"/>
        <v>2684.59944556557</v>
      </c>
      <c r="AB204" s="98">
        <f t="shared" si="57"/>
        <v>32828.27459472048</v>
      </c>
      <c r="AC204" s="91"/>
      <c r="AD204" s="92">
        <f t="shared" si="58"/>
        <v>2684.527960729732</v>
      </c>
    </row>
    <row r="205" spans="1:30" ht="11.25">
      <c r="A205" s="15"/>
      <c r="B205" s="93">
        <f>IF(C205&gt;$K$1,0,'Ranges and Data'!$A$10)</f>
        <v>535.2234266961229</v>
      </c>
      <c r="C205" s="94">
        <f t="shared" si="59"/>
        <v>37038.666666666395</v>
      </c>
      <c r="D205" s="85">
        <f t="shared" si="51"/>
        <v>13.66666666666741</v>
      </c>
      <c r="E205" s="15"/>
      <c r="F205" s="21"/>
      <c r="G205" s="21"/>
      <c r="H205" s="21"/>
      <c r="I205" s="21"/>
      <c r="J205" s="21"/>
      <c r="K205" s="21"/>
      <c r="L205" s="21"/>
      <c r="M205" s="15"/>
      <c r="N205" s="42"/>
      <c r="O205" s="86">
        <f t="shared" si="50"/>
        <v>0.04115840220281757</v>
      </c>
      <c r="P205" s="86">
        <f t="shared" si="50"/>
        <v>4.088289684493975</v>
      </c>
      <c r="Q205" s="86">
        <f t="shared" si="50"/>
        <v>126.81853829558806</v>
      </c>
      <c r="R205" s="86">
        <f t="shared" si="50"/>
        <v>1968.9520719660748</v>
      </c>
      <c r="S205" s="86">
        <f t="shared" si="50"/>
        <v>19309.050975631028</v>
      </c>
      <c r="T205" s="86">
        <f t="shared" si="50"/>
        <v>136494.65798336788</v>
      </c>
      <c r="U205" s="87">
        <f t="shared" si="50"/>
        <v>755098.671857042</v>
      </c>
      <c r="V205" s="15"/>
      <c r="W205" s="96">
        <f t="shared" si="52"/>
        <v>2878.6622649231263</v>
      </c>
      <c r="X205" s="97">
        <f t="shared" si="53"/>
        <v>34784.89621628488</v>
      </c>
      <c r="Y205" s="98">
        <f t="shared" si="54"/>
        <v>2672.93090023592</v>
      </c>
      <c r="Z205" s="97">
        <f t="shared" si="55"/>
        <v>32474.61750815616</v>
      </c>
      <c r="AA205" s="98">
        <f t="shared" si="56"/>
        <v>2658.489716663462</v>
      </c>
      <c r="AB205" s="98">
        <f t="shared" si="57"/>
        <v>32311.97096299186</v>
      </c>
      <c r="AC205" s="91"/>
      <c r="AD205" s="92">
        <f t="shared" si="58"/>
        <v>2658.4193560930453</v>
      </c>
    </row>
    <row r="206" spans="1:30" ht="11.25">
      <c r="A206" s="15"/>
      <c r="B206" s="93">
        <f>IF(C206&gt;$K$1,0,'Ranges and Data'!$A$10)</f>
        <v>535.2234266961229</v>
      </c>
      <c r="C206" s="94">
        <f t="shared" si="59"/>
        <v>37069.08333333306</v>
      </c>
      <c r="D206" s="85">
        <f t="shared" si="51"/>
        <v>13.583333333334084</v>
      </c>
      <c r="E206" s="15"/>
      <c r="F206" s="21"/>
      <c r="G206" s="21"/>
      <c r="H206" s="21"/>
      <c r="I206" s="21"/>
      <c r="J206" s="21"/>
      <c r="K206" s="21"/>
      <c r="L206" s="21"/>
      <c r="M206" s="15"/>
      <c r="N206" s="42"/>
      <c r="O206" s="86">
        <f t="shared" si="50"/>
        <v>0.04360580815668139</v>
      </c>
      <c r="P206" s="86">
        <f t="shared" si="50"/>
        <v>4.211629487794502</v>
      </c>
      <c r="Q206" s="86">
        <f t="shared" si="50"/>
        <v>127.936913015918</v>
      </c>
      <c r="R206" s="86">
        <f t="shared" si="50"/>
        <v>1953.3755807745881</v>
      </c>
      <c r="S206" s="86">
        <f t="shared" si="50"/>
        <v>18891.465509632388</v>
      </c>
      <c r="T206" s="86">
        <f t="shared" si="50"/>
        <v>131959.71929984543</v>
      </c>
      <c r="U206" s="87">
        <f t="shared" si="50"/>
        <v>722436.4162974049</v>
      </c>
      <c r="V206" s="15"/>
      <c r="W206" s="96">
        <f t="shared" si="52"/>
        <v>2849.282415277229</v>
      </c>
      <c r="X206" s="97">
        <f t="shared" si="53"/>
        <v>34219.94059020145</v>
      </c>
      <c r="Y206" s="98">
        <f t="shared" si="54"/>
        <v>2646.847222073119</v>
      </c>
      <c r="Z206" s="97">
        <f t="shared" si="55"/>
        <v>31961.631756757255</v>
      </c>
      <c r="AA206" s="98">
        <f t="shared" si="56"/>
        <v>2632.6339243195494</v>
      </c>
      <c r="AB206" s="98">
        <f t="shared" si="57"/>
        <v>31802.60497578964</v>
      </c>
      <c r="AC206" s="91"/>
      <c r="AD206" s="92">
        <f t="shared" si="58"/>
        <v>2632.5646729077444</v>
      </c>
    </row>
    <row r="207" spans="1:30" ht="11.25">
      <c r="A207" s="15"/>
      <c r="B207" s="93">
        <f>IF(C207&gt;$K$1,0,'Ranges and Data'!$A$10)</f>
        <v>535.2234266961229</v>
      </c>
      <c r="C207" s="94">
        <f t="shared" si="59"/>
        <v>37099.49999999972</v>
      </c>
      <c r="D207" s="85">
        <f t="shared" si="51"/>
        <v>13.500000000000757</v>
      </c>
      <c r="E207" s="15"/>
      <c r="F207" s="21"/>
      <c r="G207" s="21"/>
      <c r="H207" s="21"/>
      <c r="I207" s="21"/>
      <c r="J207" s="21"/>
      <c r="K207" s="21"/>
      <c r="L207" s="21"/>
      <c r="M207" s="15"/>
      <c r="N207" s="42"/>
      <c r="O207" s="86">
        <f t="shared" si="50"/>
        <v>0.04619874444171523</v>
      </c>
      <c r="P207" s="86">
        <f t="shared" si="50"/>
        <v>4.338690335407502</v>
      </c>
      <c r="Q207" s="86">
        <f t="shared" si="50"/>
        <v>129.06515034807018</v>
      </c>
      <c r="R207" s="86">
        <f t="shared" si="50"/>
        <v>1937.9223160858144</v>
      </c>
      <c r="S207" s="86">
        <f t="shared" si="50"/>
        <v>18482.910918410224</v>
      </c>
      <c r="T207" s="86">
        <f t="shared" si="50"/>
        <v>127575.45075365402</v>
      </c>
      <c r="U207" s="87">
        <f t="shared" si="50"/>
        <v>691186.9866080867</v>
      </c>
      <c r="V207" s="15"/>
      <c r="W207" s="96">
        <f t="shared" si="52"/>
        <v>2820.2024186483854</v>
      </c>
      <c r="X207" s="97">
        <f t="shared" si="53"/>
        <v>33662.893591295615</v>
      </c>
      <c r="Y207" s="98">
        <f t="shared" si="54"/>
        <v>2621.0180803319076</v>
      </c>
      <c r="Z207" s="97">
        <f t="shared" si="55"/>
        <v>31455.565427610745</v>
      </c>
      <c r="AA207" s="98">
        <f t="shared" si="56"/>
        <v>2607.0295988116904</v>
      </c>
      <c r="AB207" s="98">
        <f t="shared" si="57"/>
        <v>31300.090522812046</v>
      </c>
      <c r="AC207" s="91"/>
      <c r="AD207" s="92">
        <f t="shared" si="58"/>
        <v>2606.9614416391923</v>
      </c>
    </row>
    <row r="208" spans="1:30" ht="11.25">
      <c r="A208" s="15"/>
      <c r="B208" s="93">
        <f>IF(C208&gt;$K$1,0,'Ranges and Data'!$A$10)</f>
        <v>535.2234266961229</v>
      </c>
      <c r="C208" s="94">
        <f t="shared" si="59"/>
        <v>37129.91666666639</v>
      </c>
      <c r="D208" s="85">
        <f t="shared" si="51"/>
        <v>13.416666666667432</v>
      </c>
      <c r="E208" s="15"/>
      <c r="F208" s="21"/>
      <c r="G208" s="21"/>
      <c r="H208" s="21"/>
      <c r="I208" s="21"/>
      <c r="J208" s="21"/>
      <c r="K208" s="21"/>
      <c r="L208" s="21"/>
      <c r="M208" s="15"/>
      <c r="N208" s="42"/>
      <c r="O208" s="86">
        <f t="shared" si="50"/>
        <v>0.04894586474173365</v>
      </c>
      <c r="P208" s="86">
        <f t="shared" si="50"/>
        <v>4.469584487693407</v>
      </c>
      <c r="Q208" s="86">
        <f t="shared" si="50"/>
        <v>130.20333726746543</v>
      </c>
      <c r="R208" s="86">
        <f t="shared" si="50"/>
        <v>1922.5913030479228</v>
      </c>
      <c r="S208" s="86">
        <f t="shared" si="50"/>
        <v>18083.191896557924</v>
      </c>
      <c r="T208" s="86">
        <f t="shared" si="50"/>
        <v>123336.84643581283</v>
      </c>
      <c r="U208" s="87">
        <f t="shared" si="50"/>
        <v>661289.2701406918</v>
      </c>
      <c r="V208" s="15"/>
      <c r="W208" s="96">
        <f t="shared" si="52"/>
        <v>2791.419214713521</v>
      </c>
      <c r="X208" s="97">
        <f t="shared" si="53"/>
        <v>33113.65263549238</v>
      </c>
      <c r="Y208" s="98">
        <f t="shared" si="54"/>
        <v>2595.4409911298544</v>
      </c>
      <c r="Z208" s="97">
        <f t="shared" si="55"/>
        <v>30956.332325293955</v>
      </c>
      <c r="AA208" s="98">
        <f t="shared" si="56"/>
        <v>2581.6742944376324</v>
      </c>
      <c r="AB208" s="98">
        <f t="shared" si="57"/>
        <v>30804.34251249842</v>
      </c>
      <c r="AC208" s="91"/>
      <c r="AD208" s="92">
        <f t="shared" si="58"/>
        <v>2581.6072167704224</v>
      </c>
    </row>
    <row r="209" spans="1:30" ht="11.25">
      <c r="A209" s="15"/>
      <c r="B209" s="93">
        <f>IF(C209&gt;$K$1,0,'Ranges and Data'!$A$10)</f>
        <v>535.2234266961229</v>
      </c>
      <c r="C209" s="94">
        <f t="shared" si="59"/>
        <v>37160.33333333305</v>
      </c>
      <c r="D209" s="85">
        <f t="shared" si="51"/>
        <v>13.333333333334105</v>
      </c>
      <c r="E209" s="15"/>
      <c r="F209" s="21"/>
      <c r="G209" s="21"/>
      <c r="H209" s="21"/>
      <c r="I209" s="21"/>
      <c r="J209" s="21"/>
      <c r="K209" s="21"/>
      <c r="L209" s="21"/>
      <c r="M209" s="15"/>
      <c r="N209" s="42"/>
      <c r="O209" s="86">
        <f aca="true" t="shared" si="60" ref="O209:U218">$B209*O$7^$D209</f>
        <v>0.051856337315368393</v>
      </c>
      <c r="P209" s="86">
        <f t="shared" si="60"/>
        <v>4.604427591800752</v>
      </c>
      <c r="Q209" s="86">
        <f t="shared" si="60"/>
        <v>131.3515615165348</v>
      </c>
      <c r="R209" s="86">
        <f t="shared" si="60"/>
        <v>1907.3815745211884</v>
      </c>
      <c r="S209" s="86">
        <f t="shared" si="60"/>
        <v>17692.117362423804</v>
      </c>
      <c r="T209" s="86">
        <f t="shared" si="60"/>
        <v>119239.06675513412</v>
      </c>
      <c r="U209" s="87">
        <f t="shared" si="60"/>
        <v>632684.797711861</v>
      </c>
      <c r="V209" s="15"/>
      <c r="W209" s="96">
        <f t="shared" si="52"/>
        <v>2762.92977438345</v>
      </c>
      <c r="X209" s="97">
        <f t="shared" si="53"/>
        <v>32572.11640888429</v>
      </c>
      <c r="Y209" s="98">
        <f t="shared" si="54"/>
        <v>2570.1134948233853</v>
      </c>
      <c r="Z209" s="97">
        <f t="shared" si="55"/>
        <v>30463.84727773364</v>
      </c>
      <c r="AA209" s="98">
        <f t="shared" si="56"/>
        <v>2556.565589281393</v>
      </c>
      <c r="AB209" s="98">
        <f t="shared" si="57"/>
        <v>30315.276860358223</v>
      </c>
      <c r="AC209" s="91"/>
      <c r="AD209" s="92">
        <f t="shared" si="58"/>
        <v>2556.4995765685467</v>
      </c>
    </row>
    <row r="210" spans="1:30" ht="11.25">
      <c r="A210" s="15"/>
      <c r="B210" s="93">
        <f>IF(C210&gt;$K$1,0,'Ranges and Data'!$A$10)</f>
        <v>535.2234266961229</v>
      </c>
      <c r="C210" s="94">
        <f t="shared" si="59"/>
        <v>37190.749999999716</v>
      </c>
      <c r="D210" s="85">
        <f t="shared" si="51"/>
        <v>13.250000000000778</v>
      </c>
      <c r="E210" s="15"/>
      <c r="F210" s="21"/>
      <c r="G210" s="21"/>
      <c r="H210" s="21"/>
      <c r="I210" s="21"/>
      <c r="J210" s="21"/>
      <c r="K210" s="21"/>
      <c r="L210" s="21"/>
      <c r="M210" s="15"/>
      <c r="N210" s="42"/>
      <c r="O210" s="86">
        <f t="shared" si="60"/>
        <v>0.05493987559427931</v>
      </c>
      <c r="P210" s="86">
        <f t="shared" si="60"/>
        <v>4.743338783842301</v>
      </c>
      <c r="Q210" s="86">
        <f t="shared" si="60"/>
        <v>132.50991161148355</v>
      </c>
      <c r="R210" s="86">
        <f t="shared" si="60"/>
        <v>1892.292171016985</v>
      </c>
      <c r="S210" s="86">
        <f t="shared" si="60"/>
        <v>17309.50036676647</v>
      </c>
      <c r="T210" s="86">
        <f t="shared" si="60"/>
        <v>115277.4329124318</v>
      </c>
      <c r="U210" s="87">
        <f t="shared" si="60"/>
        <v>605317.6292585777</v>
      </c>
      <c r="V210" s="15"/>
      <c r="W210" s="96">
        <f t="shared" si="52"/>
        <v>2734.731099484113</v>
      </c>
      <c r="X210" s="97">
        <f t="shared" si="53"/>
        <v>32038.184852490387</v>
      </c>
      <c r="Y210" s="98">
        <f t="shared" si="54"/>
        <v>2545.03315577125</v>
      </c>
      <c r="Z210" s="97">
        <f t="shared" si="55"/>
        <v>29978.026124441567</v>
      </c>
      <c r="AA210" s="98">
        <f t="shared" si="56"/>
        <v>2531.701084981932</v>
      </c>
      <c r="AB210" s="98">
        <f t="shared" si="57"/>
        <v>29832.810477431012</v>
      </c>
      <c r="AC210" s="91"/>
      <c r="AD210" s="92">
        <f t="shared" si="58"/>
        <v>2531.6361228534506</v>
      </c>
    </row>
    <row r="211" spans="1:30" ht="11.25">
      <c r="A211" s="15"/>
      <c r="B211" s="93">
        <f>IF(C211&gt;$K$1,0,'Ranges and Data'!$A$10)</f>
        <v>535.2234266961229</v>
      </c>
      <c r="C211" s="94">
        <f t="shared" si="59"/>
        <v>37221.16666666638</v>
      </c>
      <c r="D211" s="85">
        <f t="shared" si="51"/>
        <v>13.166666666667451</v>
      </c>
      <c r="E211" s="15"/>
      <c r="F211" s="21"/>
      <c r="G211" s="21"/>
      <c r="H211" s="21"/>
      <c r="I211" s="21"/>
      <c r="J211" s="21"/>
      <c r="K211" s="21"/>
      <c r="L211" s="21"/>
      <c r="M211" s="15"/>
      <c r="N211" s="42"/>
      <c r="O211" s="86">
        <f t="shared" si="60"/>
        <v>0.05820677060082968</v>
      </c>
      <c r="P211" s="86">
        <f t="shared" si="60"/>
        <v>4.886440794153809</v>
      </c>
      <c r="Q211" s="86">
        <f t="shared" si="60"/>
        <v>133.67847684911484</v>
      </c>
      <c r="R211" s="86">
        <f t="shared" si="60"/>
        <v>1877.3221406372545</v>
      </c>
      <c r="S211" s="86">
        <f t="shared" si="60"/>
        <v>16935.15800338559</v>
      </c>
      <c r="T211" s="86">
        <f t="shared" si="60"/>
        <v>111447.42155832113</v>
      </c>
      <c r="U211" s="87">
        <f t="shared" si="60"/>
        <v>579134.2444395134</v>
      </c>
      <c r="V211" s="15"/>
      <c r="W211" s="96">
        <f t="shared" si="52"/>
        <v>2706.8202224410397</v>
      </c>
      <c r="X211" s="97">
        <f t="shared" si="53"/>
        <v>31511.759147193472</v>
      </c>
      <c r="Y211" s="98">
        <f t="shared" si="54"/>
        <v>2520.1975621002966</v>
      </c>
      <c r="Z211" s="97">
        <f t="shared" si="55"/>
        <v>29498.78570488222</v>
      </c>
      <c r="AA211" s="98">
        <f t="shared" si="56"/>
        <v>2507.0784065040534</v>
      </c>
      <c r="AB211" s="98">
        <f t="shared" si="57"/>
        <v>29356.861258875357</v>
      </c>
      <c r="AC211" s="91"/>
      <c r="AD211" s="92">
        <f t="shared" si="58"/>
        <v>2507.014480768721</v>
      </c>
    </row>
    <row r="212" spans="1:30" ht="11.25">
      <c r="A212" s="15"/>
      <c r="B212" s="93">
        <f>IF(C212&gt;$K$1,0,'Ranges and Data'!$A$10)</f>
        <v>535.2234266961229</v>
      </c>
      <c r="C212" s="94">
        <f t="shared" si="59"/>
        <v>37251.583333333045</v>
      </c>
      <c r="D212" s="85">
        <f t="shared" si="51"/>
        <v>13.083333333334124</v>
      </c>
      <c r="E212" s="15"/>
      <c r="F212" s="21"/>
      <c r="G212" s="21"/>
      <c r="H212" s="21"/>
      <c r="I212" s="21"/>
      <c r="J212" s="21"/>
      <c r="K212" s="21"/>
      <c r="L212" s="21"/>
      <c r="M212" s="15"/>
      <c r="N212" s="42"/>
      <c r="O212" s="86">
        <f t="shared" si="60"/>
        <v>0.06166792529341635</v>
      </c>
      <c r="P212" s="86">
        <f t="shared" si="60"/>
        <v>5.033860055728274</v>
      </c>
      <c r="Q212" s="86">
        <f t="shared" si="60"/>
        <v>134.85734731371366</v>
      </c>
      <c r="R212" s="86">
        <f t="shared" si="60"/>
        <v>1862.4705390144584</v>
      </c>
      <c r="S212" s="86">
        <f t="shared" si="60"/>
        <v>16568.911321685424</v>
      </c>
      <c r="T212" s="86">
        <f t="shared" si="60"/>
        <v>107744.65962850802</v>
      </c>
      <c r="U212" s="87">
        <f t="shared" si="60"/>
        <v>554083.4379684853</v>
      </c>
      <c r="V212" s="15"/>
      <c r="W212" s="96">
        <f t="shared" si="52"/>
        <v>2679.1942059670596</v>
      </c>
      <c r="X212" s="97">
        <f t="shared" si="53"/>
        <v>30992.741698854534</v>
      </c>
      <c r="Y212" s="98">
        <f t="shared" si="54"/>
        <v>2495.6043254735296</v>
      </c>
      <c r="Z212" s="97">
        <f t="shared" si="55"/>
        <v>29026.043846971144</v>
      </c>
      <c r="AA212" s="98">
        <f t="shared" si="56"/>
        <v>2482.695201911549</v>
      </c>
      <c r="AB212" s="98">
        <f t="shared" si="57"/>
        <v>28887.34807268569</v>
      </c>
      <c r="AC212" s="91"/>
      <c r="AD212" s="92">
        <f t="shared" si="58"/>
        <v>2482.6322985548145</v>
      </c>
    </row>
    <row r="213" spans="1:30" ht="11.25">
      <c r="A213" s="15"/>
      <c r="B213" s="93">
        <f>IF(C213&gt;$K$1,0,'Ranges and Data'!$A$10)</f>
        <v>535.2234266961229</v>
      </c>
      <c r="C213" s="94">
        <f t="shared" si="59"/>
        <v>37281.99999999971</v>
      </c>
      <c r="D213" s="85">
        <f t="shared" si="51"/>
        <v>13.000000000000798</v>
      </c>
      <c r="E213" s="15"/>
      <c r="F213" s="21"/>
      <c r="G213" s="21"/>
      <c r="H213" s="21"/>
      <c r="I213" s="21"/>
      <c r="J213" s="21"/>
      <c r="K213" s="21"/>
      <c r="L213" s="21"/>
      <c r="M213" s="15"/>
      <c r="N213" s="42"/>
      <c r="O213" s="86">
        <f t="shared" si="60"/>
        <v>0.06533489095408052</v>
      </c>
      <c r="P213" s="86">
        <f t="shared" si="60"/>
        <v>5.185726815921607</v>
      </c>
      <c r="Q213" s="86">
        <f t="shared" si="60"/>
        <v>136.04661388399123</v>
      </c>
      <c r="R213" s="86">
        <f t="shared" si="60"/>
        <v>1847.736429252003</v>
      </c>
      <c r="S213" s="86">
        <f t="shared" si="60"/>
        <v>16210.58524112931</v>
      </c>
      <c r="T213" s="86">
        <f t="shared" si="60"/>
        <v>104164.9193506737</v>
      </c>
      <c r="U213" s="87">
        <f t="shared" si="60"/>
        <v>530116.2194753302</v>
      </c>
      <c r="V213" s="15"/>
      <c r="W213" s="96">
        <f t="shared" si="52"/>
        <v>2651.8501427531787</v>
      </c>
      <c r="X213" s="97">
        <f t="shared" si="53"/>
        <v>30481.03612360163</v>
      </c>
      <c r="Y213" s="98">
        <f t="shared" si="54"/>
        <v>2471.2510808604343</v>
      </c>
      <c r="Z213" s="97">
        <f t="shared" si="55"/>
        <v>28559.71935570266</v>
      </c>
      <c r="AA213" s="98">
        <f t="shared" si="56"/>
        <v>2458.5491421425395</v>
      </c>
      <c r="AB213" s="98">
        <f t="shared" si="57"/>
        <v>28424.19074853549</v>
      </c>
      <c r="AC213" s="91"/>
      <c r="AD213" s="92">
        <f t="shared" si="58"/>
        <v>2458.4872473244236</v>
      </c>
    </row>
    <row r="214" spans="1:30" ht="11.25">
      <c r="A214" s="15"/>
      <c r="B214" s="93">
        <f>IF(C214&gt;$K$1,0,'Ranges and Data'!$A$10)</f>
        <v>535.2234266961229</v>
      </c>
      <c r="C214" s="94">
        <f t="shared" si="59"/>
        <v>37312.41666666637</v>
      </c>
      <c r="D214" s="85">
        <f t="shared" si="51"/>
        <v>12.91666666666747</v>
      </c>
      <c r="E214" s="15"/>
      <c r="F214" s="21"/>
      <c r="G214" s="21"/>
      <c r="H214" s="21"/>
      <c r="I214" s="21"/>
      <c r="J214" s="21"/>
      <c r="K214" s="21"/>
      <c r="L214" s="21"/>
      <c r="M214" s="15"/>
      <c r="N214" s="42"/>
      <c r="O214" s="86">
        <f t="shared" si="60"/>
        <v>0.06921990573983691</v>
      </c>
      <c r="P214" s="86">
        <f t="shared" si="60"/>
        <v>5.342175251528295</v>
      </c>
      <c r="Q214" s="86">
        <f t="shared" si="60"/>
        <v>137.24636824009107</v>
      </c>
      <c r="R214" s="86">
        <f t="shared" si="60"/>
        <v>1833.1188818651362</v>
      </c>
      <c r="S214" s="86">
        <f t="shared" si="60"/>
        <v>15860.00846754418</v>
      </c>
      <c r="T214" s="86">
        <f t="shared" si="60"/>
        <v>100704.11341725072</v>
      </c>
      <c r="U214" s="87">
        <f t="shared" si="60"/>
        <v>507185.71769835183</v>
      </c>
      <c r="V214" s="15"/>
      <c r="W214" s="96">
        <f t="shared" si="52"/>
        <v>2624.7851551626254</v>
      </c>
      <c r="X214" s="97">
        <f t="shared" si="53"/>
        <v>29976.547233291505</v>
      </c>
      <c r="Y214" s="98">
        <f t="shared" si="54"/>
        <v>2447.135486309543</v>
      </c>
      <c r="Z214" s="97">
        <f t="shared" si="55"/>
        <v>28099.732001905322</v>
      </c>
      <c r="AA214" s="98">
        <f t="shared" si="56"/>
        <v>2434.6379207870086</v>
      </c>
      <c r="AB214" s="98">
        <f t="shared" si="57"/>
        <v>27967.310066745475</v>
      </c>
      <c r="AC214" s="91"/>
      <c r="AD214" s="92">
        <f t="shared" si="58"/>
        <v>2434.577020840032</v>
      </c>
    </row>
    <row r="215" spans="1:30" ht="11.25">
      <c r="A215" s="15"/>
      <c r="B215" s="93">
        <f>IF(C215&gt;$K$1,0,'Ranges and Data'!$A$10)</f>
        <v>535.2234266961229</v>
      </c>
      <c r="C215" s="94">
        <f t="shared" si="59"/>
        <v>37342.83333333304</v>
      </c>
      <c r="D215" s="85">
        <f t="shared" si="51"/>
        <v>12.833333333334144</v>
      </c>
      <c r="E215" s="15"/>
      <c r="F215" s="21"/>
      <c r="G215" s="21"/>
      <c r="H215" s="21"/>
      <c r="I215" s="21"/>
      <c r="J215" s="21"/>
      <c r="K215" s="21"/>
      <c r="L215" s="21"/>
      <c r="M215" s="15"/>
      <c r="N215" s="42"/>
      <c r="O215" s="86">
        <f t="shared" si="60"/>
        <v>0.07333593552638598</v>
      </c>
      <c r="P215" s="86">
        <f t="shared" si="60"/>
        <v>5.503343587328849</v>
      </c>
      <c r="Q215" s="86">
        <f t="shared" si="60"/>
        <v>138.45670287065627</v>
      </c>
      <c r="R215" s="86">
        <f t="shared" si="60"/>
        <v>1818.6169747223137</v>
      </c>
      <c r="S215" s="86">
        <f t="shared" si="60"/>
        <v>15517.01341123508</v>
      </c>
      <c r="T215" s="86">
        <f t="shared" si="60"/>
        <v>97358.29031858139</v>
      </c>
      <c r="U215" s="87">
        <f t="shared" si="60"/>
        <v>485247.0888209886</v>
      </c>
      <c r="V215" s="15"/>
      <c r="W215" s="96">
        <f t="shared" si="52"/>
        <v>2597.99639492801</v>
      </c>
      <c r="X215" s="97">
        <f t="shared" si="53"/>
        <v>29479.181021141972</v>
      </c>
      <c r="Y215" s="98">
        <f t="shared" si="54"/>
        <v>2423.255222723218</v>
      </c>
      <c r="Z215" s="97">
        <f t="shared" si="55"/>
        <v>27646.002511123814</v>
      </c>
      <c r="AA215" s="98">
        <f t="shared" si="56"/>
        <v>2410.9592538664956</v>
      </c>
      <c r="AB215" s="98">
        <f t="shared" si="57"/>
        <v>27516.627747375453</v>
      </c>
      <c r="AC215" s="91"/>
      <c r="AD215" s="92">
        <f t="shared" si="58"/>
        <v>2410.8993352936322</v>
      </c>
    </row>
    <row r="216" spans="1:30" ht="11.25">
      <c r="A216" s="15"/>
      <c r="B216" s="93">
        <f>IF(C216&gt;$K$1,0,'Ranges and Data'!$A$10)</f>
        <v>535.2234266961229</v>
      </c>
      <c r="C216" s="94">
        <f t="shared" si="59"/>
        <v>37373.2499999997</v>
      </c>
      <c r="D216" s="85">
        <f t="shared" si="51"/>
        <v>12.750000000000817</v>
      </c>
      <c r="E216" s="15"/>
      <c r="F216" s="21"/>
      <c r="G216" s="21"/>
      <c r="H216" s="21"/>
      <c r="I216" s="21"/>
      <c r="J216" s="21"/>
      <c r="K216" s="21"/>
      <c r="L216" s="21"/>
      <c r="M216" s="15"/>
      <c r="N216" s="42"/>
      <c r="O216" s="86">
        <f t="shared" si="60"/>
        <v>0.0776967171805184</v>
      </c>
      <c r="P216" s="86">
        <f t="shared" si="60"/>
        <v>5.669374218213649</v>
      </c>
      <c r="Q216" s="86">
        <f t="shared" si="60"/>
        <v>139.67771107995972</v>
      </c>
      <c r="R216" s="86">
        <f t="shared" si="60"/>
        <v>1804.2297929870244</v>
      </c>
      <c r="S216" s="86">
        <f t="shared" si="60"/>
        <v>15181.436106870653</v>
      </c>
      <c r="T216" s="86">
        <f t="shared" si="60"/>
        <v>94123.62983112741</v>
      </c>
      <c r="U216" s="87">
        <f t="shared" si="60"/>
        <v>464257.4287734313</v>
      </c>
      <c r="V216" s="15"/>
      <c r="W216" s="96">
        <f t="shared" si="52"/>
        <v>2571.4810428515807</v>
      </c>
      <c r="X216" s="97">
        <f t="shared" si="53"/>
        <v>28988.844647532937</v>
      </c>
      <c r="Y216" s="98">
        <f t="shared" si="54"/>
        <v>2399.607993634632</v>
      </c>
      <c r="Z216" s="97">
        <f t="shared" si="55"/>
        <v>27198.45255262583</v>
      </c>
      <c r="AA216" s="98">
        <f t="shared" si="56"/>
        <v>2387.5108796159293</v>
      </c>
      <c r="AB216" s="98">
        <f t="shared" si="57"/>
        <v>27072.066439438346</v>
      </c>
      <c r="AC216" s="91"/>
      <c r="AD216" s="92">
        <f t="shared" si="58"/>
        <v>2387.4519290885873</v>
      </c>
    </row>
    <row r="217" spans="1:30" ht="11.25">
      <c r="A217" s="15"/>
      <c r="B217" s="93">
        <f>IF(C217&gt;$K$1,0,'Ranges and Data'!$A$10)</f>
        <v>535.2234266961229</v>
      </c>
      <c r="C217" s="94">
        <f t="shared" si="59"/>
        <v>37403.666666666366</v>
      </c>
      <c r="D217" s="85">
        <f t="shared" si="51"/>
        <v>12.66666666666749</v>
      </c>
      <c r="E217" s="15"/>
      <c r="F217" s="21"/>
      <c r="G217" s="21"/>
      <c r="H217" s="21"/>
      <c r="I217" s="21"/>
      <c r="J217" s="21"/>
      <c r="K217" s="21"/>
      <c r="L217" s="21"/>
      <c r="M217" s="15"/>
      <c r="N217" s="42"/>
      <c r="O217" s="86">
        <f t="shared" si="60"/>
        <v>0.08231680440563062</v>
      </c>
      <c r="P217" s="86">
        <f t="shared" si="60"/>
        <v>5.840413834991227</v>
      </c>
      <c r="Q217" s="86">
        <f t="shared" si="60"/>
        <v>140.90948699509667</v>
      </c>
      <c r="R217" s="86">
        <f t="shared" si="60"/>
        <v>1789.9564290600813</v>
      </c>
      <c r="S217" s="86">
        <f t="shared" si="60"/>
        <v>14853.116135101098</v>
      </c>
      <c r="T217" s="86">
        <f t="shared" si="60"/>
        <v>90996.43865558154</v>
      </c>
      <c r="U217" s="87">
        <f t="shared" si="60"/>
        <v>444175.6893276908</v>
      </c>
      <c r="V217" s="15"/>
      <c r="W217" s="96">
        <f t="shared" si="52"/>
        <v>2545.2363085085362</v>
      </c>
      <c r="X217" s="97">
        <f t="shared" si="53"/>
        <v>28505.44642597426</v>
      </c>
      <c r="Y217" s="98">
        <f t="shared" si="54"/>
        <v>2376.19152498693</v>
      </c>
      <c r="Z217" s="97">
        <f t="shared" si="55"/>
        <v>26757.00472853268</v>
      </c>
      <c r="AA217" s="98">
        <f t="shared" si="56"/>
        <v>2364.2905582675908</v>
      </c>
      <c r="AB217" s="98">
        <f t="shared" si="57"/>
        <v>26633.54971023521</v>
      </c>
      <c r="AC217" s="91"/>
      <c r="AD217" s="92">
        <f t="shared" si="58"/>
        <v>2364.2325626236075</v>
      </c>
    </row>
    <row r="218" spans="1:30" ht="11.25">
      <c r="A218" s="15"/>
      <c r="B218" s="93">
        <f>IF(C218&gt;$K$1,0,'Ranges and Data'!$A$10)</f>
        <v>535.2234266961229</v>
      </c>
      <c r="C218" s="94">
        <f t="shared" si="59"/>
        <v>37434.08333333303</v>
      </c>
      <c r="D218" s="85">
        <f t="shared" si="51"/>
        <v>12.583333333334163</v>
      </c>
      <c r="E218" s="15"/>
      <c r="F218" s="21"/>
      <c r="G218" s="21"/>
      <c r="H218" s="21"/>
      <c r="I218" s="21"/>
      <c r="J218" s="21"/>
      <c r="K218" s="21"/>
      <c r="L218" s="21"/>
      <c r="M218" s="15"/>
      <c r="N218" s="42"/>
      <c r="O218" s="86">
        <f t="shared" si="60"/>
        <v>0.08721161631335783</v>
      </c>
      <c r="P218" s="86">
        <f t="shared" si="60"/>
        <v>6.016613553991975</v>
      </c>
      <c r="Q218" s="86">
        <f t="shared" si="60"/>
        <v>142.15212557324102</v>
      </c>
      <c r="R218" s="86">
        <f t="shared" si="60"/>
        <v>1775.7959825223659</v>
      </c>
      <c r="S218" s="86">
        <f t="shared" si="60"/>
        <v>14531.896545871376</v>
      </c>
      <c r="T218" s="86">
        <f t="shared" si="60"/>
        <v>87973.14619989983</v>
      </c>
      <c r="U218" s="87">
        <f t="shared" si="60"/>
        <v>424962.5978220211</v>
      </c>
      <c r="V218" s="15"/>
      <c r="W218" s="96">
        <f t="shared" si="52"/>
        <v>2519.259429953366</v>
      </c>
      <c r="X218" s="97">
        <f t="shared" si="53"/>
        <v>28028.895809238387</v>
      </c>
      <c r="Y218" s="98">
        <f t="shared" si="54"/>
        <v>2353.003564914537</v>
      </c>
      <c r="Z218" s="97">
        <f t="shared" si="55"/>
        <v>26321.582563072036</v>
      </c>
      <c r="AA218" s="98">
        <f t="shared" si="56"/>
        <v>2341.2960718371664</v>
      </c>
      <c r="AB218" s="98">
        <f t="shared" si="57"/>
        <v>26201.00203480977</v>
      </c>
      <c r="AC218" s="91"/>
      <c r="AD218" s="92">
        <f t="shared" si="58"/>
        <v>2341.239018078837</v>
      </c>
    </row>
    <row r="219" spans="1:30" ht="11.25">
      <c r="A219" s="15"/>
      <c r="B219" s="93">
        <f>IF(C219&gt;$K$1,0,'Ranges and Data'!$A$10)</f>
        <v>535.2234266961229</v>
      </c>
      <c r="C219" s="94">
        <f t="shared" si="59"/>
        <v>37464.499999999694</v>
      </c>
      <c r="D219" s="85">
        <f t="shared" si="51"/>
        <v>12.500000000000837</v>
      </c>
      <c r="E219" s="15"/>
      <c r="F219" s="21"/>
      <c r="G219" s="21"/>
      <c r="H219" s="21"/>
      <c r="I219" s="21"/>
      <c r="J219" s="21"/>
      <c r="K219" s="21"/>
      <c r="L219" s="21"/>
      <c r="M219" s="15"/>
      <c r="N219" s="42"/>
      <c r="O219" s="86">
        <f aca="true" t="shared" si="61" ref="O219:U228">$B219*O$7^$D219</f>
        <v>0.09239748888342537</v>
      </c>
      <c r="P219" s="86">
        <f t="shared" si="61"/>
        <v>6.19812905058197</v>
      </c>
      <c r="Q219" s="86">
        <f t="shared" si="61"/>
        <v>143.40572260896565</v>
      </c>
      <c r="R219" s="86">
        <f t="shared" si="61"/>
        <v>1761.7475600780267</v>
      </c>
      <c r="S219" s="86">
        <f t="shared" si="61"/>
        <v>14217.623783392777</v>
      </c>
      <c r="T219" s="86">
        <f t="shared" si="61"/>
        <v>85050.30050243871</v>
      </c>
      <c r="U219" s="87">
        <f t="shared" si="61"/>
        <v>406580.5803577151</v>
      </c>
      <c r="V219" s="15"/>
      <c r="W219" s="96">
        <f t="shared" si="52"/>
        <v>2493.547673429189</v>
      </c>
      <c r="X219" s="97">
        <f t="shared" si="53"/>
        <v>27559.103375656014</v>
      </c>
      <c r="Y219" s="98">
        <f t="shared" si="54"/>
        <v>2330.0418835266128</v>
      </c>
      <c r="Z219" s="97">
        <f t="shared" si="55"/>
        <v>25892.110491951735</v>
      </c>
      <c r="AA219" s="98">
        <f t="shared" si="56"/>
        <v>2318.525223911896</v>
      </c>
      <c r="AB219" s="98">
        <f t="shared" si="57"/>
        <v>25774.348785521306</v>
      </c>
      <c r="AC219" s="91"/>
      <c r="AD219" s="92">
        <f t="shared" si="58"/>
        <v>2318.469099204016</v>
      </c>
    </row>
    <row r="220" spans="1:30" ht="11.25">
      <c r="A220" s="15"/>
      <c r="B220" s="93">
        <f>IF(C220&gt;$K$1,0,'Ranges and Data'!$A$10)</f>
        <v>535.2234266961229</v>
      </c>
      <c r="C220" s="94">
        <f t="shared" si="59"/>
        <v>37494.91666666636</v>
      </c>
      <c r="D220" s="85">
        <f t="shared" si="51"/>
        <v>12.41666666666751</v>
      </c>
      <c r="E220" s="15"/>
      <c r="F220" s="21"/>
      <c r="G220" s="21"/>
      <c r="H220" s="21"/>
      <c r="I220" s="21"/>
      <c r="J220" s="21"/>
      <c r="K220" s="21"/>
      <c r="L220" s="21"/>
      <c r="M220" s="15"/>
      <c r="N220" s="42"/>
      <c r="O220" s="86">
        <f t="shared" si="61"/>
        <v>0.09789172948346192</v>
      </c>
      <c r="P220" s="86">
        <f t="shared" si="61"/>
        <v>6.385120696704691</v>
      </c>
      <c r="Q220" s="86">
        <f t="shared" si="61"/>
        <v>144.67037474162703</v>
      </c>
      <c r="R220" s="86">
        <f t="shared" si="61"/>
        <v>1747.8102754981246</v>
      </c>
      <c r="S220" s="86">
        <f t="shared" si="61"/>
        <v>13910.147612737152</v>
      </c>
      <c r="T220" s="86">
        <f t="shared" si="61"/>
        <v>82224.5642905445</v>
      </c>
      <c r="U220" s="87">
        <f t="shared" si="61"/>
        <v>388993.68831806997</v>
      </c>
      <c r="V220" s="15"/>
      <c r="W220" s="96">
        <f t="shared" si="52"/>
        <v>2468.098333080059</v>
      </c>
      <c r="X220" s="97">
        <f t="shared" si="53"/>
        <v>27095.98081557278</v>
      </c>
      <c r="Y220" s="98">
        <f t="shared" si="54"/>
        <v>2307.3042726926064</v>
      </c>
      <c r="Z220" s="97">
        <f t="shared" si="55"/>
        <v>25468.513851853048</v>
      </c>
      <c r="AA220" s="98">
        <f t="shared" si="56"/>
        <v>2295.9758394407663</v>
      </c>
      <c r="AB220" s="98">
        <f t="shared" si="57"/>
        <v>25353.516221734382</v>
      </c>
      <c r="AC220" s="91"/>
      <c r="AD220" s="92">
        <f t="shared" si="58"/>
        <v>2295.9206311087014</v>
      </c>
    </row>
    <row r="221" spans="1:30" ht="11.25">
      <c r="A221" s="15"/>
      <c r="B221" s="93">
        <f>IF(C221&gt;$K$1,0,'Ranges and Data'!$A$10)</f>
        <v>535.2234266961229</v>
      </c>
      <c r="C221" s="94">
        <f t="shared" si="59"/>
        <v>37525.33333333302</v>
      </c>
      <c r="D221" s="85">
        <f t="shared" si="51"/>
        <v>12.333333333334183</v>
      </c>
      <c r="E221" s="15"/>
      <c r="F221" s="21"/>
      <c r="G221" s="21"/>
      <c r="H221" s="21"/>
      <c r="I221" s="21"/>
      <c r="J221" s="21"/>
      <c r="K221" s="21"/>
      <c r="L221" s="21"/>
      <c r="M221" s="15"/>
      <c r="N221" s="42"/>
      <c r="O221" s="86">
        <f t="shared" si="61"/>
        <v>0.10371267463073128</v>
      </c>
      <c r="P221" s="86">
        <f t="shared" si="61"/>
        <v>6.577753702572316</v>
      </c>
      <c r="Q221" s="86">
        <f t="shared" si="61"/>
        <v>145.94617946281522</v>
      </c>
      <c r="R221" s="86">
        <f t="shared" si="61"/>
        <v>1733.9832495647297</v>
      </c>
      <c r="S221" s="86">
        <f t="shared" si="61"/>
        <v>13609.321048018592</v>
      </c>
      <c r="T221" s="86">
        <f t="shared" si="61"/>
        <v>79492.71117009186</v>
      </c>
      <c r="U221" s="87">
        <f t="shared" si="61"/>
        <v>372167.5280658161</v>
      </c>
      <c r="V221" s="15"/>
      <c r="W221" s="96">
        <f t="shared" si="52"/>
        <v>2442.908730666204</v>
      </c>
      <c r="X221" s="97">
        <f t="shared" si="53"/>
        <v>26639.44091796516</v>
      </c>
      <c r="Y221" s="98">
        <f t="shared" si="54"/>
        <v>2284.7885458299115</v>
      </c>
      <c r="Z221" s="97">
        <f t="shared" si="55"/>
        <v>25050.718870042263</v>
      </c>
      <c r="AA221" s="98">
        <f t="shared" si="56"/>
        <v>2273.645764526756</v>
      </c>
      <c r="AB221" s="98">
        <f t="shared" si="57"/>
        <v>24938.431479624338</v>
      </c>
      <c r="AC221" s="91"/>
      <c r="AD221" s="92">
        <f t="shared" si="58"/>
        <v>2273.591460054534</v>
      </c>
    </row>
    <row r="222" spans="1:30" ht="11.25">
      <c r="A222" s="15"/>
      <c r="B222" s="93">
        <f>IF(C222&gt;$K$1,0,'Ranges and Data'!$A$10)</f>
        <v>535.2234266961229</v>
      </c>
      <c r="C222" s="94">
        <f t="shared" si="59"/>
        <v>37555.74999999969</v>
      </c>
      <c r="D222" s="85">
        <f t="shared" si="51"/>
        <v>12.250000000000858</v>
      </c>
      <c r="E222" s="15"/>
      <c r="F222" s="21"/>
      <c r="G222" s="21"/>
      <c r="H222" s="21"/>
      <c r="I222" s="21"/>
      <c r="J222" s="21"/>
      <c r="K222" s="21"/>
      <c r="L222" s="21"/>
      <c r="M222" s="15"/>
      <c r="N222" s="42"/>
      <c r="O222" s="86">
        <f t="shared" si="61"/>
        <v>0.10987975118855257</v>
      </c>
      <c r="P222" s="86">
        <f t="shared" si="61"/>
        <v>6.776198262631667</v>
      </c>
      <c r="Q222" s="86">
        <f t="shared" si="61"/>
        <v>147.23323512386932</v>
      </c>
      <c r="R222" s="86">
        <f t="shared" si="61"/>
        <v>1720.2656100154538</v>
      </c>
      <c r="S222" s="86">
        <f t="shared" si="61"/>
        <v>13315.000282128336</v>
      </c>
      <c r="T222" s="86">
        <f t="shared" si="61"/>
        <v>76851.6219416237</v>
      </c>
      <c r="U222" s="87">
        <f t="shared" si="61"/>
        <v>356069.1936815315</v>
      </c>
      <c r="V222" s="15"/>
      <c r="W222" s="96">
        <f t="shared" si="52"/>
        <v>2417.9762152821745</v>
      </c>
      <c r="X222" s="97">
        <f t="shared" si="53"/>
        <v>26189.397557213713</v>
      </c>
      <c r="Y222" s="98">
        <f t="shared" si="54"/>
        <v>2262.4925376935917</v>
      </c>
      <c r="Z222" s="97">
        <f t="shared" si="55"/>
        <v>24638.652654099234</v>
      </c>
      <c r="AA222" s="98">
        <f t="shared" si="56"/>
        <v>2251.5328662210973</v>
      </c>
      <c r="AB222" s="98">
        <f t="shared" si="57"/>
        <v>24529.02256209717</v>
      </c>
      <c r="AC222" s="91"/>
      <c r="AD222" s="92">
        <f t="shared" si="58"/>
        <v>2251.479453249519</v>
      </c>
    </row>
    <row r="223" spans="1:30" ht="11.25">
      <c r="A223" s="15"/>
      <c r="B223" s="93">
        <f>IF(C223&gt;$K$1,0,'Ranges and Data'!$A$10)</f>
        <v>535.2234266961229</v>
      </c>
      <c r="C223" s="94">
        <f t="shared" si="59"/>
        <v>37586.16666666635</v>
      </c>
      <c r="D223" s="85">
        <f t="shared" si="51"/>
        <v>12.166666666667531</v>
      </c>
      <c r="E223" s="15"/>
      <c r="F223" s="21"/>
      <c r="G223" s="21"/>
      <c r="H223" s="21"/>
      <c r="I223" s="21"/>
      <c r="J223" s="21"/>
      <c r="K223" s="21"/>
      <c r="L223" s="21"/>
      <c r="M223" s="15"/>
      <c r="N223" s="42"/>
      <c r="O223" s="86">
        <f t="shared" si="61"/>
        <v>0.11641354120165297</v>
      </c>
      <c r="P223" s="86">
        <f t="shared" si="61"/>
        <v>6.980629705933815</v>
      </c>
      <c r="Q223" s="86">
        <f t="shared" si="61"/>
        <v>148.5316409434597</v>
      </c>
      <c r="R223" s="86">
        <f t="shared" si="61"/>
        <v>1706.6564914884264</v>
      </c>
      <c r="S223" s="86">
        <f t="shared" si="61"/>
        <v>13027.04461798919</v>
      </c>
      <c r="T223" s="86">
        <f t="shared" si="61"/>
        <v>74298.28103888311</v>
      </c>
      <c r="U223" s="87">
        <f t="shared" si="61"/>
        <v>340667.2026114927</v>
      </c>
      <c r="V223" s="15"/>
      <c r="W223" s="96">
        <f t="shared" si="52"/>
        <v>2393.2981630778663</v>
      </c>
      <c r="X223" s="97">
        <f t="shared" si="53"/>
        <v>25745.765680031927</v>
      </c>
      <c r="Y223" s="98">
        <f t="shared" si="54"/>
        <v>2240.4141041681573</v>
      </c>
      <c r="Z223" s="97">
        <f t="shared" si="55"/>
        <v>24232.243181761543</v>
      </c>
      <c r="AA223" s="98">
        <f t="shared" si="56"/>
        <v>2229.6350323195356</v>
      </c>
      <c r="AB223" s="98">
        <f t="shared" si="57"/>
        <v>24125.218328822455</v>
      </c>
      <c r="AC223" s="91"/>
      <c r="AD223" s="92">
        <f t="shared" si="58"/>
        <v>2229.582498644309</v>
      </c>
    </row>
    <row r="224" spans="1:30" ht="11.25">
      <c r="A224" s="15"/>
      <c r="B224" s="93">
        <f>IF(C224&gt;$K$1,0,'Ranges and Data'!$A$10)</f>
        <v>535.2234266961229</v>
      </c>
      <c r="C224" s="94">
        <f t="shared" si="59"/>
        <v>37616.583333333016</v>
      </c>
      <c r="D224" s="85">
        <f t="shared" si="51"/>
        <v>12.083333333334204</v>
      </c>
      <c r="E224" s="15"/>
      <c r="F224" s="21"/>
      <c r="G224" s="21"/>
      <c r="H224" s="21"/>
      <c r="I224" s="21"/>
      <c r="J224" s="21"/>
      <c r="K224" s="21"/>
      <c r="L224" s="21"/>
      <c r="M224" s="15"/>
      <c r="N224" s="42"/>
      <c r="O224" s="86">
        <f t="shared" si="61"/>
        <v>0.12333585058682592</v>
      </c>
      <c r="P224" s="86">
        <f t="shared" si="61"/>
        <v>7.191228651040188</v>
      </c>
      <c r="Q224" s="86">
        <f t="shared" si="61"/>
        <v>149.84149701523611</v>
      </c>
      <c r="R224" s="86">
        <f t="shared" si="61"/>
        <v>1693.1550354677024</v>
      </c>
      <c r="S224" s="86">
        <f t="shared" si="61"/>
        <v>12745.316401296746</v>
      </c>
      <c r="T224" s="86">
        <f t="shared" si="61"/>
        <v>71829.77308567434</v>
      </c>
      <c r="U224" s="87">
        <f t="shared" si="61"/>
        <v>325931.434099123</v>
      </c>
      <c r="V224" s="15"/>
      <c r="W224" s="96">
        <f t="shared" si="52"/>
        <v>2368.871976982393</v>
      </c>
      <c r="X224" s="97">
        <f t="shared" si="53"/>
        <v>25308.461292548756</v>
      </c>
      <c r="Y224" s="98">
        <f t="shared" si="54"/>
        <v>2218.5511220613753</v>
      </c>
      <c r="Z224" s="97">
        <f t="shared" si="55"/>
        <v>23831.419290883092</v>
      </c>
      <c r="AA224" s="98">
        <f t="shared" si="56"/>
        <v>2207.950171160577</v>
      </c>
      <c r="AB224" s="98">
        <f t="shared" si="57"/>
        <v>23726.948486378325</v>
      </c>
      <c r="AC224" s="91"/>
      <c r="AD224" s="92">
        <f t="shared" si="58"/>
        <v>2207.898504730475</v>
      </c>
    </row>
    <row r="225" spans="1:30" ht="11.25">
      <c r="A225" s="15"/>
      <c r="B225" s="93">
        <f>IF(C225&gt;$K$1,0,'Ranges and Data'!$A$10)</f>
        <v>535.2234266961229</v>
      </c>
      <c r="C225" s="94">
        <f t="shared" si="59"/>
        <v>37646.99999999968</v>
      </c>
      <c r="D225" s="85">
        <f t="shared" si="51"/>
        <v>12.000000000000878</v>
      </c>
      <c r="E225" s="15"/>
      <c r="F225" s="21"/>
      <c r="G225" s="21"/>
      <c r="H225" s="21"/>
      <c r="I225" s="21"/>
      <c r="J225" s="21"/>
      <c r="K225" s="21"/>
      <c r="L225" s="21"/>
      <c r="M225" s="15"/>
      <c r="N225" s="42"/>
      <c r="O225" s="86">
        <f t="shared" si="61"/>
        <v>0.13066978190815362</v>
      </c>
      <c r="P225" s="86">
        <f t="shared" si="61"/>
        <v>7.408181165602087</v>
      </c>
      <c r="Q225" s="86">
        <f t="shared" si="61"/>
        <v>151.16290431554455</v>
      </c>
      <c r="R225" s="86">
        <f t="shared" si="61"/>
        <v>1679.7603902291064</v>
      </c>
      <c r="S225" s="86">
        <f t="shared" si="61"/>
        <v>12469.680954715112</v>
      </c>
      <c r="T225" s="86">
        <f t="shared" si="61"/>
        <v>69443.27956711806</v>
      </c>
      <c r="U225" s="87">
        <f t="shared" si="61"/>
        <v>311833.0702796193</v>
      </c>
      <c r="V225" s="15"/>
      <c r="W225" s="96">
        <f t="shared" si="52"/>
        <v>2344.6950864307737</v>
      </c>
      <c r="X225" s="97">
        <f t="shared" si="53"/>
        <v>24877.401447543187</v>
      </c>
      <c r="Y225" s="98">
        <f t="shared" si="54"/>
        <v>2196.901488900091</v>
      </c>
      <c r="Z225" s="97">
        <f t="shared" si="55"/>
        <v>23436.11066950578</v>
      </c>
      <c r="AA225" s="98">
        <f t="shared" si="56"/>
        <v>2186.476211425693</v>
      </c>
      <c r="AB225" s="98">
        <f t="shared" si="57"/>
        <v>23334.143578506937</v>
      </c>
      <c r="AC225" s="91"/>
      <c r="AD225" s="92">
        <f t="shared" si="58"/>
        <v>2186.4254003407295</v>
      </c>
    </row>
    <row r="226" spans="1:30" ht="11.25">
      <c r="A226" s="15"/>
      <c r="B226" s="93">
        <f>IF(C226&gt;$K$1,0,'Ranges and Data'!$A$10)</f>
        <v>535.2234266961229</v>
      </c>
      <c r="C226" s="94">
        <f t="shared" si="59"/>
        <v>37677.416666666344</v>
      </c>
      <c r="D226" s="85">
        <f t="shared" si="51"/>
        <v>11.91666666666755</v>
      </c>
      <c r="E226" s="15"/>
      <c r="F226" s="21"/>
      <c r="G226" s="21"/>
      <c r="H226" s="21"/>
      <c r="I226" s="21"/>
      <c r="J226" s="21"/>
      <c r="K226" s="21"/>
      <c r="L226" s="21"/>
      <c r="M226" s="15"/>
      <c r="N226" s="42"/>
      <c r="O226" s="86">
        <f t="shared" si="61"/>
        <v>0.13843981147966622</v>
      </c>
      <c r="P226" s="86">
        <f t="shared" si="61"/>
        <v>7.63167893075449</v>
      </c>
      <c r="Q226" s="86">
        <f t="shared" si="61"/>
        <v>152.495964711211</v>
      </c>
      <c r="R226" s="86">
        <f t="shared" si="61"/>
        <v>1666.4717107865004</v>
      </c>
      <c r="S226" s="86">
        <f t="shared" si="61"/>
        <v>12200.006513495775</v>
      </c>
      <c r="T226" s="86">
        <f t="shared" si="61"/>
        <v>67136.07561150267</v>
      </c>
      <c r="U226" s="87">
        <f t="shared" si="61"/>
        <v>298344.53982257243</v>
      </c>
      <c r="V226" s="15"/>
      <c r="W226" s="96">
        <f t="shared" si="52"/>
        <v>2320.764947093414</v>
      </c>
      <c r="X226" s="97">
        <f t="shared" si="53"/>
        <v>24452.50423182897</v>
      </c>
      <c r="Y226" s="98">
        <f t="shared" si="54"/>
        <v>2175.4631227280397</v>
      </c>
      <c r="Z226" s="97">
        <f t="shared" si="55"/>
        <v>23046.247846043032</v>
      </c>
      <c r="AA226" s="98">
        <f t="shared" si="56"/>
        <v>2165.2111019414715</v>
      </c>
      <c r="AB226" s="98">
        <f t="shared" si="57"/>
        <v>22946.734976479507</v>
      </c>
      <c r="AC226" s="91"/>
      <c r="AD226" s="92">
        <f t="shared" si="58"/>
        <v>2165.1611344510984</v>
      </c>
    </row>
    <row r="227" spans="1:30" ht="11.25">
      <c r="A227" s="15"/>
      <c r="B227" s="93">
        <f>IF(C227&gt;$K$1,0,'Ranges and Data'!$A$10)</f>
        <v>535.2234266961229</v>
      </c>
      <c r="C227" s="94">
        <f t="shared" si="59"/>
        <v>37707.83333333301</v>
      </c>
      <c r="D227" s="85">
        <f t="shared" si="51"/>
        <v>11.833333333334224</v>
      </c>
      <c r="E227" s="15"/>
      <c r="F227" s="21"/>
      <c r="G227" s="21"/>
      <c r="H227" s="21"/>
      <c r="I227" s="21"/>
      <c r="J227" s="21"/>
      <c r="K227" s="21"/>
      <c r="L227" s="21"/>
      <c r="M227" s="15"/>
      <c r="N227" s="42"/>
      <c r="O227" s="86">
        <f t="shared" si="61"/>
        <v>0.14667187105276389</v>
      </c>
      <c r="P227" s="86">
        <f t="shared" si="61"/>
        <v>7.86191941046956</v>
      </c>
      <c r="Q227" s="86">
        <f t="shared" si="61"/>
        <v>153.84078096739458</v>
      </c>
      <c r="R227" s="86">
        <f t="shared" si="61"/>
        <v>1653.2881588384796</v>
      </c>
      <c r="S227" s="86">
        <f t="shared" si="61"/>
        <v>11936.164162488776</v>
      </c>
      <c r="T227" s="86">
        <f t="shared" si="61"/>
        <v>64905.52687905638</v>
      </c>
      <c r="U227" s="87">
        <f t="shared" si="61"/>
        <v>285439.4640123582</v>
      </c>
      <c r="V227" s="15"/>
      <c r="W227" s="96">
        <f t="shared" si="52"/>
        <v>2297.0790406083424</v>
      </c>
      <c r="X227" s="97">
        <f t="shared" si="53"/>
        <v>24033.688753787887</v>
      </c>
      <c r="Y227" s="98">
        <f t="shared" si="54"/>
        <v>2154.233961905636</v>
      </c>
      <c r="Z227" s="97">
        <f t="shared" si="55"/>
        <v>22661.762179573994</v>
      </c>
      <c r="AA227" s="98">
        <f t="shared" si="56"/>
        <v>2144.1528114836865</v>
      </c>
      <c r="AB227" s="98">
        <f t="shared" si="57"/>
        <v>22564.654869569436</v>
      </c>
      <c r="AC227" s="91"/>
      <c r="AD227" s="92">
        <f t="shared" si="58"/>
        <v>2144.103675985016</v>
      </c>
    </row>
    <row r="228" spans="1:30" ht="11.25">
      <c r="A228" s="15"/>
      <c r="B228" s="93">
        <f>IF(C228&gt;$K$1,0,'Ranges and Data'!$A$10)</f>
        <v>535.2234266961229</v>
      </c>
      <c r="C228" s="94">
        <f t="shared" si="59"/>
        <v>37738.24999999967</v>
      </c>
      <c r="D228" s="85">
        <f t="shared" si="51"/>
        <v>11.750000000000897</v>
      </c>
      <c r="E228" s="15"/>
      <c r="F228" s="21"/>
      <c r="G228" s="21"/>
      <c r="H228" s="21"/>
      <c r="I228" s="21"/>
      <c r="J228" s="21"/>
      <c r="K228" s="21"/>
      <c r="L228" s="21"/>
      <c r="M228" s="15"/>
      <c r="N228" s="42"/>
      <c r="O228" s="86">
        <f t="shared" si="61"/>
        <v>0.15539343436102798</v>
      </c>
      <c r="P228" s="86">
        <f t="shared" si="61"/>
        <v>8.09910602601927</v>
      </c>
      <c r="Q228" s="86">
        <f t="shared" si="61"/>
        <v>155.1974567555095</v>
      </c>
      <c r="R228" s="86">
        <f t="shared" si="61"/>
        <v>1640.208902715489</v>
      </c>
      <c r="S228" s="86">
        <f t="shared" si="61"/>
        <v>11678.027774516133</v>
      </c>
      <c r="T228" s="86">
        <f t="shared" si="61"/>
        <v>62749.086554086934</v>
      </c>
      <c r="U228" s="87">
        <f t="shared" si="61"/>
        <v>273092.6051608536</v>
      </c>
      <c r="V228" s="15"/>
      <c r="W228" s="96">
        <f t="shared" si="52"/>
        <v>2273.6348743161857</v>
      </c>
      <c r="X228" s="97">
        <f t="shared" si="53"/>
        <v>23620.87513104971</v>
      </c>
      <c r="Y228" s="98">
        <f t="shared" si="54"/>
        <v>2133.2119649117135</v>
      </c>
      <c r="Z228" s="97">
        <f t="shared" si="55"/>
        <v>22282.585850247095</v>
      </c>
      <c r="AA228" s="98">
        <f t="shared" si="56"/>
        <v>2123.2993285832836</v>
      </c>
      <c r="AB228" s="98">
        <f t="shared" si="57"/>
        <v>22187.836255632625</v>
      </c>
      <c r="AC228" s="91"/>
      <c r="AD228" s="92">
        <f t="shared" si="58"/>
        <v>2123.2510136193227</v>
      </c>
    </row>
    <row r="229" spans="1:30" ht="11.25">
      <c r="A229" s="15"/>
      <c r="B229" s="93">
        <f>IF(C229&gt;$K$1,0,'Ranges and Data'!$A$10)</f>
        <v>535.2234266961229</v>
      </c>
      <c r="C229" s="94">
        <f t="shared" si="59"/>
        <v>37768.66666666634</v>
      </c>
      <c r="D229" s="85">
        <f t="shared" si="51"/>
        <v>11.66666666666757</v>
      </c>
      <c r="E229" s="15"/>
      <c r="F229" s="21"/>
      <c r="G229" s="21"/>
      <c r="H229" s="21"/>
      <c r="I229" s="21"/>
      <c r="J229" s="21"/>
      <c r="K229" s="21"/>
      <c r="L229" s="21"/>
      <c r="M229" s="15"/>
      <c r="N229" s="42"/>
      <c r="O229" s="86">
        <f aca="true" t="shared" si="62" ref="O229:U238">$B229*O$7^$D229</f>
        <v>0.16463360881125216</v>
      </c>
      <c r="P229" s="86">
        <f t="shared" si="62"/>
        <v>8.343448335701508</v>
      </c>
      <c r="Q229" s="86">
        <f t="shared" si="62"/>
        <v>156.5660966612172</v>
      </c>
      <c r="R229" s="86">
        <f t="shared" si="62"/>
        <v>1627.233117327359</v>
      </c>
      <c r="S229" s="86">
        <f t="shared" si="62"/>
        <v>11425.473950078009</v>
      </c>
      <c r="T229" s="86">
        <f t="shared" si="62"/>
        <v>60664.29243705635</v>
      </c>
      <c r="U229" s="87">
        <f t="shared" si="62"/>
        <v>261279.817251594</v>
      </c>
      <c r="V229" s="15"/>
      <c r="W229" s="96">
        <f t="shared" si="52"/>
        <v>2250.429980997844</v>
      </c>
      <c r="X229" s="97">
        <f t="shared" si="53"/>
        <v>23213.98447831731</v>
      </c>
      <c r="Y229" s="98">
        <f t="shared" si="54"/>
        <v>2112.395110147199</v>
      </c>
      <c r="Z229" s="97">
        <f t="shared" si="55"/>
        <v>21908.651849791808</v>
      </c>
      <c r="AA229" s="98">
        <f t="shared" si="56"/>
        <v>2102.6486613342413</v>
      </c>
      <c r="AB229" s="98">
        <f t="shared" si="57"/>
        <v>21816.21293179353</v>
      </c>
      <c r="AC229" s="91"/>
      <c r="AD229" s="92">
        <f t="shared" si="58"/>
        <v>2102.6011555921555</v>
      </c>
    </row>
    <row r="230" spans="1:30" ht="11.25">
      <c r="A230" s="15"/>
      <c r="B230" s="93">
        <f>IF(C230&gt;$K$1,0,'Ranges and Data'!$A$10)</f>
        <v>535.2234266961229</v>
      </c>
      <c r="C230" s="94">
        <f t="shared" si="59"/>
        <v>37799.083333333</v>
      </c>
      <c r="D230" s="85">
        <f t="shared" si="51"/>
        <v>11.583333333334243</v>
      </c>
      <c r="E230" s="15"/>
      <c r="F230" s="21"/>
      <c r="G230" s="21"/>
      <c r="H230" s="21"/>
      <c r="I230" s="21"/>
      <c r="J230" s="21"/>
      <c r="K230" s="21"/>
      <c r="L230" s="21"/>
      <c r="M230" s="15"/>
      <c r="N230" s="42"/>
      <c r="O230" s="86">
        <f t="shared" si="62"/>
        <v>0.17442323262670606</v>
      </c>
      <c r="P230" s="86">
        <f t="shared" si="62"/>
        <v>8.595162219988293</v>
      </c>
      <c r="Q230" s="86">
        <f t="shared" si="62"/>
        <v>157.9468061924887</v>
      </c>
      <c r="R230" s="86">
        <f t="shared" si="62"/>
        <v>1614.359984111254</v>
      </c>
      <c r="S230" s="86">
        <f t="shared" si="62"/>
        <v>11178.38195836283</v>
      </c>
      <c r="T230" s="86">
        <f t="shared" si="62"/>
        <v>58648.76413326841</v>
      </c>
      <c r="U230" s="87">
        <f t="shared" si="62"/>
        <v>249977.99871884641</v>
      </c>
      <c r="V230" s="15"/>
      <c r="W230" s="96">
        <f t="shared" si="52"/>
        <v>2227.461918614846</v>
      </c>
      <c r="X230" s="97">
        <f t="shared" si="53"/>
        <v>22812.938895335097</v>
      </c>
      <c r="Y230" s="98">
        <f t="shared" si="54"/>
        <v>2091.7813957407056</v>
      </c>
      <c r="Z230" s="97">
        <f t="shared" si="55"/>
        <v>21539.893972137423</v>
      </c>
      <c r="AA230" s="98">
        <f t="shared" si="56"/>
        <v>2082.1988372033074</v>
      </c>
      <c r="AB230" s="98">
        <f t="shared" si="57"/>
        <v>21449.719485235917</v>
      </c>
      <c r="AC230" s="91"/>
      <c r="AD230" s="92">
        <f t="shared" si="58"/>
        <v>2082.1521295126972</v>
      </c>
    </row>
    <row r="231" spans="1:30" ht="11.25">
      <c r="A231" s="15"/>
      <c r="B231" s="93">
        <f>IF(C231&gt;$K$1,0,'Ranges and Data'!$A$10)</f>
        <v>535.2234266961229</v>
      </c>
      <c r="C231" s="94">
        <f t="shared" si="59"/>
        <v>37829.499999999665</v>
      </c>
      <c r="D231" s="85">
        <f t="shared" si="51"/>
        <v>11.500000000000917</v>
      </c>
      <c r="E231" s="15"/>
      <c r="F231" s="21"/>
      <c r="G231" s="21"/>
      <c r="H231" s="21"/>
      <c r="I231" s="21"/>
      <c r="J231" s="21"/>
      <c r="K231" s="21"/>
      <c r="L231" s="21"/>
      <c r="M231" s="15"/>
      <c r="N231" s="42"/>
      <c r="O231" s="86">
        <f t="shared" si="62"/>
        <v>0.18479497776684042</v>
      </c>
      <c r="P231" s="86">
        <f t="shared" si="62"/>
        <v>8.8544700722597</v>
      </c>
      <c r="Q231" s="86">
        <f t="shared" si="62"/>
        <v>159.3396917877383</v>
      </c>
      <c r="R231" s="86">
        <f t="shared" si="62"/>
        <v>1601.588690980036</v>
      </c>
      <c r="S231" s="86">
        <f t="shared" si="62"/>
        <v>10936.633679533135</v>
      </c>
      <c r="T231" s="86">
        <f t="shared" si="62"/>
        <v>56700.20033496099</v>
      </c>
      <c r="U231" s="87">
        <f t="shared" si="62"/>
        <v>239165.0472692544</v>
      </c>
      <c r="V231" s="15"/>
      <c r="W231" s="96">
        <f t="shared" si="52"/>
        <v>2204.728270052355</v>
      </c>
      <c r="X231" s="97">
        <f t="shared" si="53"/>
        <v>22417.66145499921</v>
      </c>
      <c r="Y231" s="98">
        <f t="shared" si="54"/>
        <v>2071.36883935602</v>
      </c>
      <c r="Z231" s="97">
        <f t="shared" si="55"/>
        <v>21176.246804137594</v>
      </c>
      <c r="AA231" s="98">
        <f t="shared" si="56"/>
        <v>2061.947902841586</v>
      </c>
      <c r="AB231" s="98">
        <f t="shared" si="57"/>
        <v>21088.29128409722</v>
      </c>
      <c r="AC231" s="91"/>
      <c r="AD231" s="92">
        <f t="shared" si="58"/>
        <v>2061.9019821727884</v>
      </c>
    </row>
    <row r="232" spans="1:30" ht="11.25">
      <c r="A232" s="15"/>
      <c r="B232" s="93">
        <f>IF(C232&gt;$K$1,0,'Ranges and Data'!$A$10)</f>
        <v>535.2234266961229</v>
      </c>
      <c r="C232" s="94">
        <f t="shared" si="59"/>
        <v>37859.91666666633</v>
      </c>
      <c r="D232" s="85">
        <f t="shared" si="51"/>
        <v>11.41666666666759</v>
      </c>
      <c r="E232" s="15"/>
      <c r="F232" s="21"/>
      <c r="G232" s="21"/>
      <c r="H232" s="21"/>
      <c r="I232" s="21"/>
      <c r="J232" s="21"/>
      <c r="K232" s="21"/>
      <c r="L232" s="21"/>
      <c r="M232" s="15"/>
      <c r="N232" s="42"/>
      <c r="O232" s="86">
        <f t="shared" si="62"/>
        <v>0.19578345896691307</v>
      </c>
      <c r="P232" s="86">
        <f t="shared" si="62"/>
        <v>9.121600995292155</v>
      </c>
      <c r="Q232" s="86">
        <f t="shared" si="62"/>
        <v>160.74486082402868</v>
      </c>
      <c r="R232" s="86">
        <f t="shared" si="62"/>
        <v>1588.9184322710341</v>
      </c>
      <c r="S232" s="86">
        <f t="shared" si="62"/>
        <v>10700.113548259571</v>
      </c>
      <c r="T232" s="86">
        <f t="shared" si="62"/>
        <v>54816.376193698125</v>
      </c>
      <c r="U232" s="87">
        <f t="shared" si="62"/>
        <v>228819.816657698</v>
      </c>
      <c r="V232" s="15"/>
      <c r="W232" s="96">
        <f t="shared" si="52"/>
        <v>2182.2266428647954</v>
      </c>
      <c r="X232" s="97">
        <f t="shared" si="53"/>
        <v>22028.076191607805</v>
      </c>
      <c r="Y232" s="98">
        <f t="shared" si="54"/>
        <v>2051.1554780014676</v>
      </c>
      <c r="Z232" s="97">
        <f t="shared" si="55"/>
        <v>20817.645716399533</v>
      </c>
      <c r="AA232" s="98">
        <f t="shared" si="56"/>
        <v>2041.893923897951</v>
      </c>
      <c r="AB232" s="98">
        <f t="shared" si="57"/>
        <v>20731.86446846519</v>
      </c>
      <c r="AC232" s="91"/>
      <c r="AD232" s="92">
        <f t="shared" si="58"/>
        <v>2041.848779360359</v>
      </c>
    </row>
    <row r="233" spans="1:30" ht="11.25">
      <c r="A233" s="15"/>
      <c r="B233" s="93">
        <f>IF(C233&gt;$K$1,0,'Ranges and Data'!$A$10)</f>
        <v>535.2234266961229</v>
      </c>
      <c r="C233" s="94">
        <f t="shared" si="59"/>
        <v>37890.333333332994</v>
      </c>
      <c r="D233" s="85">
        <f t="shared" si="51"/>
        <v>11.333333333334263</v>
      </c>
      <c r="E233" s="15"/>
      <c r="F233" s="21"/>
      <c r="G233" s="21"/>
      <c r="H233" s="21"/>
      <c r="I233" s="21"/>
      <c r="J233" s="21"/>
      <c r="K233" s="21"/>
      <c r="L233" s="21"/>
      <c r="M233" s="15"/>
      <c r="N233" s="42"/>
      <c r="O233" s="86">
        <f t="shared" si="62"/>
        <v>0.20742534926145095</v>
      </c>
      <c r="P233" s="86">
        <f t="shared" si="62"/>
        <v>9.39679100367447</v>
      </c>
      <c r="Q233" s="86">
        <f t="shared" si="62"/>
        <v>162.16242162534888</v>
      </c>
      <c r="R233" s="86">
        <f t="shared" si="62"/>
        <v>1576.3484086952205</v>
      </c>
      <c r="S233" s="86">
        <f t="shared" si="62"/>
        <v>10468.708498476062</v>
      </c>
      <c r="T233" s="86">
        <f t="shared" si="62"/>
        <v>52995.140780062975</v>
      </c>
      <c r="U233" s="87">
        <f t="shared" si="62"/>
        <v>218922.07533284219</v>
      </c>
      <c r="V233" s="15"/>
      <c r="W233" s="96">
        <f t="shared" si="52"/>
        <v>2159.9546690240745</v>
      </c>
      <c r="X233" s="97">
        <f t="shared" si="53"/>
        <v>21644.108089249796</v>
      </c>
      <c r="Y233" s="98">
        <f t="shared" si="54"/>
        <v>2031.1393678411437</v>
      </c>
      <c r="Z233" s="97">
        <f t="shared" si="55"/>
        <v>20464.026854216725</v>
      </c>
      <c r="AA233" s="98">
        <f t="shared" si="56"/>
        <v>2022.0349848342855</v>
      </c>
      <c r="AB233" s="98">
        <f t="shared" si="57"/>
        <v>20380.375941475886</v>
      </c>
      <c r="AC233" s="91"/>
      <c r="AD233" s="92">
        <f t="shared" si="58"/>
        <v>2021.9906056746843</v>
      </c>
    </row>
    <row r="234" spans="1:30" ht="11.25">
      <c r="A234" s="15"/>
      <c r="B234" s="93">
        <f>IF(C234&gt;$K$1,0,'Ranges and Data'!$A$10)</f>
        <v>535.2234266961229</v>
      </c>
      <c r="C234" s="94">
        <f t="shared" si="59"/>
        <v>37920.74999999966</v>
      </c>
      <c r="D234" s="85">
        <f t="shared" si="51"/>
        <v>11.250000000000936</v>
      </c>
      <c r="E234" s="15"/>
      <c r="F234" s="21"/>
      <c r="G234" s="21"/>
      <c r="H234" s="21"/>
      <c r="I234" s="21"/>
      <c r="J234" s="21"/>
      <c r="K234" s="21"/>
      <c r="L234" s="21"/>
      <c r="M234" s="15"/>
      <c r="N234" s="42"/>
      <c r="O234" s="86">
        <f t="shared" si="62"/>
        <v>0.21975950237709324</v>
      </c>
      <c r="P234" s="86">
        <f t="shared" si="62"/>
        <v>9.680283232330686</v>
      </c>
      <c r="Q234" s="86">
        <f t="shared" si="62"/>
        <v>163.5924834709646</v>
      </c>
      <c r="R234" s="86">
        <f t="shared" si="62"/>
        <v>1563.8778272867878</v>
      </c>
      <c r="S234" s="86">
        <f t="shared" si="62"/>
        <v>10242.307909329696</v>
      </c>
      <c r="T234" s="86">
        <f t="shared" si="62"/>
        <v>51234.41462775077</v>
      </c>
      <c r="U234" s="87">
        <f t="shared" si="62"/>
        <v>209452.46687149772</v>
      </c>
      <c r="V234" s="15"/>
      <c r="W234" s="96">
        <f t="shared" si="52"/>
        <v>2137.9100046703784</v>
      </c>
      <c r="X234" s="97">
        <f t="shared" si="53"/>
        <v>21265.683070330466</v>
      </c>
      <c r="Y234" s="98">
        <f t="shared" si="54"/>
        <v>2011.3185840079784</v>
      </c>
      <c r="Z234" s="97">
        <f t="shared" si="55"/>
        <v>20115.3271286039</v>
      </c>
      <c r="AA234" s="98">
        <f t="shared" si="56"/>
        <v>2002.3691887425039</v>
      </c>
      <c r="AB234" s="98">
        <f t="shared" si="57"/>
        <v>20033.7633605117</v>
      </c>
      <c r="AC234" s="91"/>
      <c r="AD234" s="92">
        <f t="shared" si="58"/>
        <v>2002.3255643434309</v>
      </c>
    </row>
    <row r="235" spans="1:30" ht="11.25">
      <c r="A235" s="15"/>
      <c r="B235" s="93">
        <f>IF(C235&gt;$K$1,0,'Ranges and Data'!$A$10)</f>
        <v>535.2234266961229</v>
      </c>
      <c r="C235" s="94">
        <f t="shared" si="59"/>
        <v>37951.16666666632</v>
      </c>
      <c r="D235" s="85">
        <f t="shared" si="51"/>
        <v>11.166666666667611</v>
      </c>
      <c r="E235" s="15"/>
      <c r="F235" s="21"/>
      <c r="G235" s="21"/>
      <c r="H235" s="21"/>
      <c r="I235" s="21"/>
      <c r="J235" s="21"/>
      <c r="K235" s="21"/>
      <c r="L235" s="21"/>
      <c r="M235" s="15"/>
      <c r="N235" s="42"/>
      <c r="O235" s="86">
        <f t="shared" si="62"/>
        <v>0.23282708240329295</v>
      </c>
      <c r="P235" s="86">
        <f t="shared" si="62"/>
        <v>9.972328151333734</v>
      </c>
      <c r="Q235" s="86">
        <f t="shared" si="62"/>
        <v>165.03515660384267</v>
      </c>
      <c r="R235" s="86">
        <f t="shared" si="62"/>
        <v>1551.5059013531263</v>
      </c>
      <c r="S235" s="86">
        <f t="shared" si="62"/>
        <v>10020.803552299583</v>
      </c>
      <c r="T235" s="86">
        <f t="shared" si="62"/>
        <v>49532.18735925703</v>
      </c>
      <c r="U235" s="87">
        <f t="shared" si="62"/>
        <v>200392.47212441606</v>
      </c>
      <c r="V235" s="15"/>
      <c r="W235" s="96">
        <f t="shared" si="52"/>
        <v>2116.0903298655085</v>
      </c>
      <c r="X235" s="97">
        <f t="shared" si="53"/>
        <v>20892.7279842324</v>
      </c>
      <c r="Y235" s="98">
        <f t="shared" si="54"/>
        <v>1991.691220418634</v>
      </c>
      <c r="Z235" s="97">
        <f t="shared" si="55"/>
        <v>19771.484207433263</v>
      </c>
      <c r="AA235" s="98">
        <f t="shared" si="56"/>
        <v>1982.8946571633671</v>
      </c>
      <c r="AB235" s="98">
        <f t="shared" si="57"/>
        <v>19691.965128498585</v>
      </c>
      <c r="AC235" s="91"/>
      <c r="AD235" s="92">
        <f t="shared" si="58"/>
        <v>1982.851777041487</v>
      </c>
    </row>
    <row r="236" spans="1:30" ht="11.25">
      <c r="A236" s="15"/>
      <c r="B236" s="93">
        <f>IF(C236&gt;$K$1,0,'Ranges and Data'!$A$10)</f>
        <v>535.2234266961229</v>
      </c>
      <c r="C236" s="94">
        <f t="shared" si="59"/>
        <v>37981.58333333299</v>
      </c>
      <c r="D236" s="85">
        <f t="shared" si="51"/>
        <v>11.083333333334284</v>
      </c>
      <c r="E236" s="15"/>
      <c r="F236" s="21"/>
      <c r="G236" s="21"/>
      <c r="H236" s="21"/>
      <c r="I236" s="21"/>
      <c r="J236" s="21"/>
      <c r="K236" s="21"/>
      <c r="L236" s="21"/>
      <c r="M236" s="15"/>
      <c r="N236" s="42"/>
      <c r="O236" s="86">
        <f t="shared" si="62"/>
        <v>0.24667170117363807</v>
      </c>
      <c r="P236" s="86">
        <f t="shared" si="62"/>
        <v>10.273183787199976</v>
      </c>
      <c r="Q236" s="86">
        <f t="shared" si="62"/>
        <v>166.4905522391498</v>
      </c>
      <c r="R236" s="86">
        <f t="shared" si="62"/>
        <v>1539.2318504251953</v>
      </c>
      <c r="S236" s="86">
        <f t="shared" si="62"/>
        <v>9804.089539459239</v>
      </c>
      <c r="T236" s="86">
        <f t="shared" si="62"/>
        <v>47886.51539045113</v>
      </c>
      <c r="U236" s="87">
        <f t="shared" si="62"/>
        <v>191724.3729994923</v>
      </c>
      <c r="V236" s="15"/>
      <c r="W236" s="96">
        <f t="shared" si="52"/>
        <v>2094.493348348732</v>
      </c>
      <c r="X236" s="97">
        <f t="shared" si="53"/>
        <v>20525.170596110023</v>
      </c>
      <c r="Y236" s="98">
        <f t="shared" si="54"/>
        <v>1972.2553895902015</v>
      </c>
      <c r="Z236" s="97">
        <f t="shared" si="55"/>
        <v>19432.43650667075</v>
      </c>
      <c r="AA236" s="98">
        <f t="shared" si="56"/>
        <v>1963.6095299070482</v>
      </c>
      <c r="AB236" s="98">
        <f t="shared" si="57"/>
        <v>19354.920385300986</v>
      </c>
      <c r="AC236" s="91"/>
      <c r="AD236" s="92">
        <f t="shared" si="58"/>
        <v>1963.5673837115492</v>
      </c>
    </row>
    <row r="237" spans="1:30" ht="11.25">
      <c r="A237" s="15"/>
      <c r="B237" s="93">
        <f>IF(C237&gt;$K$1,0,'Ranges and Data'!$A$10)</f>
        <v>535.2234266961229</v>
      </c>
      <c r="C237" s="94">
        <f t="shared" si="59"/>
        <v>38011.99999999965</v>
      </c>
      <c r="D237" s="85">
        <f t="shared" si="51"/>
        <v>11.000000000000957</v>
      </c>
      <c r="E237" s="15"/>
      <c r="F237" s="21"/>
      <c r="G237" s="21"/>
      <c r="H237" s="21"/>
      <c r="I237" s="21"/>
      <c r="J237" s="21"/>
      <c r="K237" s="21"/>
      <c r="L237" s="21"/>
      <c r="M237" s="15"/>
      <c r="N237" s="42"/>
      <c r="O237" s="86">
        <f t="shared" si="62"/>
        <v>0.26133956381629286</v>
      </c>
      <c r="P237" s="86">
        <f t="shared" si="62"/>
        <v>10.583115950859819</v>
      </c>
      <c r="Q237" s="86">
        <f t="shared" si="62"/>
        <v>167.95878257282584</v>
      </c>
      <c r="R237" s="86">
        <f t="shared" si="62"/>
        <v>1527.0549002082898</v>
      </c>
      <c r="S237" s="86">
        <f t="shared" si="62"/>
        <v>9592.06227285798</v>
      </c>
      <c r="T237" s="86">
        <f t="shared" si="62"/>
        <v>46295.51971141351</v>
      </c>
      <c r="U237" s="87">
        <f t="shared" si="62"/>
        <v>183431.21781154847</v>
      </c>
      <c r="V237" s="15"/>
      <c r="W237" s="96">
        <f t="shared" si="52"/>
        <v>2073.116787295134</v>
      </c>
      <c r="X237" s="97">
        <f t="shared" si="53"/>
        <v>20162.939575816497</v>
      </c>
      <c r="Y237" s="98">
        <f t="shared" si="54"/>
        <v>1953.0092224586901</v>
      </c>
      <c r="Z237" s="97">
        <f t="shared" si="55"/>
        <v>19098.12318171132</v>
      </c>
      <c r="AA237" s="98">
        <f t="shared" si="56"/>
        <v>1944.5119648754544</v>
      </c>
      <c r="AB237" s="98">
        <f t="shared" si="57"/>
        <v>19022.568999213894</v>
      </c>
      <c r="AC237" s="91"/>
      <c r="AD237" s="92">
        <f t="shared" si="58"/>
        <v>1944.470542386461</v>
      </c>
    </row>
    <row r="238" spans="1:30" ht="11.25">
      <c r="A238" s="15"/>
      <c r="B238" s="93">
        <f>IF(C238&gt;$K$1,0,'Ranges and Data'!$A$10)</f>
        <v>535.2234266961229</v>
      </c>
      <c r="C238" s="94">
        <f t="shared" si="59"/>
        <v>38042.416666666315</v>
      </c>
      <c r="D238" s="85">
        <f t="shared" si="51"/>
        <v>10.91666666666763</v>
      </c>
      <c r="E238" s="15"/>
      <c r="F238" s="21"/>
      <c r="G238" s="21"/>
      <c r="H238" s="21"/>
      <c r="I238" s="21"/>
      <c r="J238" s="21"/>
      <c r="K238" s="21"/>
      <c r="L238" s="21"/>
      <c r="M238" s="15"/>
      <c r="N238" s="42"/>
      <c r="O238" s="86">
        <f t="shared" si="62"/>
        <v>0.27687962295931695</v>
      </c>
      <c r="P238" s="86">
        <f t="shared" si="62"/>
        <v>10.902398472506107</v>
      </c>
      <c r="Q238" s="86">
        <f t="shared" si="62"/>
        <v>169.43996079023302</v>
      </c>
      <c r="R238" s="86">
        <f t="shared" si="62"/>
        <v>1514.9742825331934</v>
      </c>
      <c r="S238" s="86">
        <f t="shared" si="62"/>
        <v>9384.620394996948</v>
      </c>
      <c r="T238" s="86">
        <f t="shared" si="62"/>
        <v>44757.38374100325</v>
      </c>
      <c r="U238" s="87">
        <f t="shared" si="62"/>
        <v>175496.78813093243</v>
      </c>
      <c r="V238" s="15"/>
      <c r="W238" s="96">
        <f t="shared" si="52"/>
        <v>2051.958397076425</v>
      </c>
      <c r="X238" s="97">
        <f t="shared" si="53"/>
        <v>19805.964486961053</v>
      </c>
      <c r="Y238" s="98">
        <f t="shared" si="54"/>
        <v>1933.9508681992895</v>
      </c>
      <c r="Z238" s="97">
        <f t="shared" si="55"/>
        <v>18768.484118812044</v>
      </c>
      <c r="AA238" s="98">
        <f t="shared" si="56"/>
        <v>1925.600137886267</v>
      </c>
      <c r="AB238" s="98">
        <f t="shared" si="57"/>
        <v>18694.851558550465</v>
      </c>
      <c r="AC238" s="91"/>
      <c r="AD238" s="92">
        <f t="shared" si="58"/>
        <v>1925.5594290132733</v>
      </c>
    </row>
    <row r="239" spans="1:30" ht="11.25">
      <c r="A239" s="15"/>
      <c r="B239" s="93">
        <f>IF(C239&gt;$K$1,0,'Ranges and Data'!$A$10)</f>
        <v>535.2234266961229</v>
      </c>
      <c r="C239" s="94">
        <f t="shared" si="59"/>
        <v>38072.83333333298</v>
      </c>
      <c r="D239" s="85">
        <f t="shared" si="51"/>
        <v>10.833333333334304</v>
      </c>
      <c r="E239" s="15"/>
      <c r="F239" s="21"/>
      <c r="G239" s="21"/>
      <c r="H239" s="21"/>
      <c r="I239" s="21"/>
      <c r="J239" s="21"/>
      <c r="K239" s="21"/>
      <c r="L239" s="21"/>
      <c r="M239" s="15"/>
      <c r="N239" s="42"/>
      <c r="O239" s="86">
        <f aca="true" t="shared" si="63" ref="O239:U248">$B239*O$7^$D239</f>
        <v>0.2933437421055117</v>
      </c>
      <c r="P239" s="86">
        <f t="shared" si="63"/>
        <v>11.231313443527622</v>
      </c>
      <c r="Q239" s="86">
        <f t="shared" si="63"/>
        <v>170.93420107488143</v>
      </c>
      <c r="R239" s="86">
        <f t="shared" si="63"/>
        <v>1502.9892353077198</v>
      </c>
      <c r="S239" s="86">
        <f t="shared" si="63"/>
        <v>9181.664740376174</v>
      </c>
      <c r="T239" s="86">
        <f t="shared" si="63"/>
        <v>43270.35125270563</v>
      </c>
      <c r="U239" s="87">
        <f t="shared" si="63"/>
        <v>167905.56706610025</v>
      </c>
      <c r="V239" s="15"/>
      <c r="W239" s="96">
        <f t="shared" si="52"/>
        <v>2031.0159510241956</v>
      </c>
      <c r="X239" s="97">
        <f t="shared" si="53"/>
        <v>19454.17577609557</v>
      </c>
      <c r="Y239" s="98">
        <f t="shared" si="54"/>
        <v>1915.0784940483804</v>
      </c>
      <c r="Z239" s="97">
        <f t="shared" si="55"/>
        <v>18443.459926622036</v>
      </c>
      <c r="AA239" s="98">
        <f t="shared" si="56"/>
        <v>1906.8722424987</v>
      </c>
      <c r="AB239" s="98">
        <f t="shared" si="57"/>
        <v>18371.709363324495</v>
      </c>
      <c r="AC239" s="91"/>
      <c r="AD239" s="92">
        <f t="shared" si="58"/>
        <v>1906.8322372790192</v>
      </c>
    </row>
    <row r="240" spans="1:30" ht="11.25">
      <c r="A240" s="15"/>
      <c r="B240" s="93">
        <f>IF(C240&gt;$K$1,0,'Ranges and Data'!$A$10)</f>
        <v>535.2234266961229</v>
      </c>
      <c r="C240" s="94">
        <f t="shared" si="59"/>
        <v>38103.24999999964</v>
      </c>
      <c r="D240" s="85">
        <f t="shared" si="51"/>
        <v>10.750000000000977</v>
      </c>
      <c r="E240" s="15"/>
      <c r="F240" s="21"/>
      <c r="G240" s="21"/>
      <c r="H240" s="21"/>
      <c r="I240" s="21"/>
      <c r="J240" s="21"/>
      <c r="K240" s="21"/>
      <c r="L240" s="21"/>
      <c r="M240" s="15"/>
      <c r="N240" s="42"/>
      <c r="O240" s="86">
        <f t="shared" si="63"/>
        <v>0.3107868687220389</v>
      </c>
      <c r="P240" s="86">
        <f t="shared" si="63"/>
        <v>11.570151465741487</v>
      </c>
      <c r="Q240" s="86">
        <f t="shared" si="63"/>
        <v>172.44161861723134</v>
      </c>
      <c r="R240" s="86">
        <f t="shared" si="63"/>
        <v>1491.0990024686375</v>
      </c>
      <c r="S240" s="86">
        <f t="shared" si="63"/>
        <v>8983.098288089523</v>
      </c>
      <c r="T240" s="86">
        <f t="shared" si="63"/>
        <v>41832.72436939265</v>
      </c>
      <c r="U240" s="87">
        <f t="shared" si="63"/>
        <v>160642.70891815607</v>
      </c>
      <c r="V240" s="15"/>
      <c r="W240" s="96">
        <f t="shared" si="52"/>
        <v>2010.2872451955861</v>
      </c>
      <c r="X240" s="97">
        <f t="shared" si="53"/>
        <v>19107.504762028748</v>
      </c>
      <c r="Y240" s="98">
        <f t="shared" si="54"/>
        <v>1896.390285127285</v>
      </c>
      <c r="Z240" s="97">
        <f t="shared" si="55"/>
        <v>18122.99192780802</v>
      </c>
      <c r="AA240" s="98">
        <f t="shared" si="56"/>
        <v>1888.3264898409484</v>
      </c>
      <c r="AB240" s="98">
        <f t="shared" si="57"/>
        <v>18053.08441702653</v>
      </c>
      <c r="AC240" s="91"/>
      <c r="AD240" s="92">
        <f t="shared" si="58"/>
        <v>1888.2871784381814</v>
      </c>
    </row>
    <row r="241" spans="1:30" ht="11.25">
      <c r="A241" s="15"/>
      <c r="B241" s="93">
        <f>IF(C241&gt;$K$1,0,'Ranges and Data'!$A$10)</f>
        <v>535.2234266961229</v>
      </c>
      <c r="C241" s="94">
        <f t="shared" si="59"/>
        <v>38133.66666666631</v>
      </c>
      <c r="D241" s="85">
        <f t="shared" si="51"/>
        <v>10.66666666666765</v>
      </c>
      <c r="E241" s="15"/>
      <c r="F241" s="21"/>
      <c r="G241" s="21"/>
      <c r="H241" s="21"/>
      <c r="I241" s="21"/>
      <c r="J241" s="21"/>
      <c r="K241" s="21"/>
      <c r="L241" s="21"/>
      <c r="M241" s="15"/>
      <c r="N241" s="42"/>
      <c r="O241" s="86">
        <f t="shared" si="63"/>
        <v>0.32926721762248595</v>
      </c>
      <c r="P241" s="86">
        <f t="shared" si="63"/>
        <v>11.919211908144682</v>
      </c>
      <c r="Q241" s="86">
        <f t="shared" si="63"/>
        <v>173.9623296235732</v>
      </c>
      <c r="R241" s="86">
        <f t="shared" si="63"/>
        <v>1479.3028339339737</v>
      </c>
      <c r="S241" s="86">
        <f t="shared" si="63"/>
        <v>8788.826115444808</v>
      </c>
      <c r="T241" s="86">
        <f t="shared" si="63"/>
        <v>40442.86162470555</v>
      </c>
      <c r="U241" s="87">
        <f t="shared" si="63"/>
        <v>153694.01014800288</v>
      </c>
      <c r="V241" s="15"/>
      <c r="W241" s="96">
        <f t="shared" si="52"/>
        <v>1989.770098141349</v>
      </c>
      <c r="X241" s="97">
        <f t="shared" si="53"/>
        <v>18765.883625266444</v>
      </c>
      <c r="Y241" s="98">
        <f t="shared" si="54"/>
        <v>1877.8844442677416</v>
      </c>
      <c r="Z241" s="97">
        <f t="shared" si="55"/>
        <v>17807.02215077467</v>
      </c>
      <c r="AA241" s="98">
        <f t="shared" si="56"/>
        <v>1869.961108439318</v>
      </c>
      <c r="AB241" s="98">
        <f t="shared" si="57"/>
        <v>17738.919418492635</v>
      </c>
      <c r="AC241" s="91"/>
      <c r="AD241" s="92">
        <f t="shared" si="58"/>
        <v>1869.9224811418396</v>
      </c>
    </row>
    <row r="242" spans="1:30" ht="11.25">
      <c r="A242" s="15"/>
      <c r="B242" s="93">
        <f>IF(C242&gt;$K$1,0,'Ranges and Data'!$A$10)</f>
        <v>535.2234266961229</v>
      </c>
      <c r="C242" s="94">
        <f t="shared" si="59"/>
        <v>38164.08333333297</v>
      </c>
      <c r="D242" s="85">
        <f t="shared" si="51"/>
        <v>10.583333333334323</v>
      </c>
      <c r="E242" s="15"/>
      <c r="F242" s="21"/>
      <c r="G242" s="21"/>
      <c r="H242" s="21"/>
      <c r="I242" s="21"/>
      <c r="J242" s="21"/>
      <c r="K242" s="21"/>
      <c r="L242" s="21"/>
      <c r="M242" s="15"/>
      <c r="N242" s="42"/>
      <c r="O242" s="86">
        <f t="shared" si="63"/>
        <v>0.34884646525339297</v>
      </c>
      <c r="P242" s="86">
        <f t="shared" si="63"/>
        <v>12.278803171411498</v>
      </c>
      <c r="Q242" s="86">
        <f t="shared" si="63"/>
        <v>175.49645132498597</v>
      </c>
      <c r="R242" s="86">
        <f t="shared" si="63"/>
        <v>1467.5999855556965</v>
      </c>
      <c r="S242" s="86">
        <f t="shared" si="63"/>
        <v>8598.755352586973</v>
      </c>
      <c r="T242" s="86">
        <f t="shared" si="63"/>
        <v>39099.176088846885</v>
      </c>
      <c r="U242" s="87">
        <f t="shared" si="63"/>
        <v>147045.88159932772</v>
      </c>
      <c r="V242" s="15"/>
      <c r="W242" s="96">
        <f t="shared" si="52"/>
        <v>1969.4623506762755</v>
      </c>
      <c r="X242" s="97">
        <f t="shared" si="53"/>
        <v>18429.24539757666</v>
      </c>
      <c r="Y242" s="98">
        <f t="shared" si="54"/>
        <v>1859.5591918390735</v>
      </c>
      <c r="Z242" s="97">
        <f t="shared" si="55"/>
        <v>17495.493321478414</v>
      </c>
      <c r="AA242" s="98">
        <f t="shared" si="56"/>
        <v>1851.774344049016</v>
      </c>
      <c r="AB242" s="98">
        <f t="shared" si="57"/>
        <v>17429.157753864794</v>
      </c>
      <c r="AC242" s="91"/>
      <c r="AD242" s="92">
        <f t="shared" si="58"/>
        <v>1851.7363912684777</v>
      </c>
    </row>
    <row r="243" spans="1:30" ht="11.25">
      <c r="A243" s="15"/>
      <c r="B243" s="93">
        <f>IF(C243&gt;$K$1,0,'Ranges and Data'!$A$10)</f>
        <v>535.2234266961229</v>
      </c>
      <c r="C243" s="94">
        <f t="shared" si="59"/>
        <v>38194.499999999636</v>
      </c>
      <c r="D243" s="85">
        <f t="shared" si="51"/>
        <v>10.500000000000997</v>
      </c>
      <c r="E243" s="15"/>
      <c r="F243" s="21"/>
      <c r="G243" s="21"/>
      <c r="H243" s="21"/>
      <c r="I243" s="21"/>
      <c r="J243" s="21"/>
      <c r="K243" s="21"/>
      <c r="L243" s="21"/>
      <c r="M243" s="15"/>
      <c r="N243" s="42"/>
      <c r="O243" s="86">
        <f t="shared" si="63"/>
        <v>0.36958995553366053</v>
      </c>
      <c r="P243" s="86">
        <f t="shared" si="63"/>
        <v>12.649242960370646</v>
      </c>
      <c r="Q243" s="86">
        <f t="shared" si="63"/>
        <v>177.0441019863744</v>
      </c>
      <c r="R243" s="86">
        <f t="shared" si="63"/>
        <v>1455.9897190727713</v>
      </c>
      <c r="S243" s="86">
        <f t="shared" si="63"/>
        <v>8412.795138102587</v>
      </c>
      <c r="T243" s="86">
        <f t="shared" si="63"/>
        <v>37800.1335566419</v>
      </c>
      <c r="U243" s="87">
        <f t="shared" si="63"/>
        <v>140685.32192309687</v>
      </c>
      <c r="V243" s="15"/>
      <c r="W243" s="96">
        <f t="shared" si="52"/>
        <v>1949.361865651969</v>
      </c>
      <c r="X243" s="97">
        <f t="shared" si="53"/>
        <v>18097.523951677824</v>
      </c>
      <c r="Y243" s="98">
        <f t="shared" si="54"/>
        <v>1841.4127655770521</v>
      </c>
      <c r="Z243" s="97">
        <f t="shared" si="55"/>
        <v>17188.34885533392</v>
      </c>
      <c r="AA243" s="98">
        <f t="shared" si="56"/>
        <v>1833.7644594865858</v>
      </c>
      <c r="AB243" s="98">
        <f t="shared" si="57"/>
        <v>17123.74348864188</v>
      </c>
      <c r="AC243" s="91"/>
      <c r="AD243" s="92">
        <f t="shared" si="58"/>
        <v>1833.7271717564365</v>
      </c>
    </row>
    <row r="244" spans="1:30" ht="11.25">
      <c r="A244" s="15"/>
      <c r="B244" s="93">
        <f>IF(C244&gt;$K$1,0,'Ranges and Data'!$A$10)</f>
        <v>535.2234266961229</v>
      </c>
      <c r="C244" s="94">
        <f t="shared" si="59"/>
        <v>38224.9166666663</v>
      </c>
      <c r="D244" s="85">
        <f t="shared" si="51"/>
        <v>10.41666666666767</v>
      </c>
      <c r="E244" s="15"/>
      <c r="F244" s="21"/>
      <c r="G244" s="21"/>
      <c r="H244" s="21"/>
      <c r="I244" s="21"/>
      <c r="J244" s="21"/>
      <c r="K244" s="21"/>
      <c r="L244" s="21"/>
      <c r="M244" s="15"/>
      <c r="N244" s="42"/>
      <c r="O244" s="86">
        <f t="shared" si="63"/>
        <v>0.39156691793380427</v>
      </c>
      <c r="P244" s="86">
        <f t="shared" si="63"/>
        <v>13.030858564702712</v>
      </c>
      <c r="Q244" s="86">
        <f t="shared" si="63"/>
        <v>178.60540091558596</v>
      </c>
      <c r="R244" s="86">
        <f t="shared" si="63"/>
        <v>1444.4713020645875</v>
      </c>
      <c r="S244" s="86">
        <f t="shared" si="63"/>
        <v>8230.856575584457</v>
      </c>
      <c r="T244" s="86">
        <f t="shared" si="63"/>
        <v>36544.25079579991</v>
      </c>
      <c r="U244" s="87">
        <f t="shared" si="63"/>
        <v>134599.89215159268</v>
      </c>
      <c r="V244" s="15"/>
      <c r="W244" s="96">
        <f t="shared" si="52"/>
        <v>1929.4665277319339</v>
      </c>
      <c r="X244" s="97">
        <f t="shared" si="53"/>
        <v>17770.653991048846</v>
      </c>
      <c r="Y244" s="98">
        <f t="shared" si="54"/>
        <v>1823.4434204144275</v>
      </c>
      <c r="Z244" s="97">
        <f t="shared" si="55"/>
        <v>16885.532849212013</v>
      </c>
      <c r="AA244" s="98">
        <f t="shared" si="56"/>
        <v>1815.9297344639751</v>
      </c>
      <c r="AB244" s="98">
        <f t="shared" si="57"/>
        <v>16822.62135982033</v>
      </c>
      <c r="AC244" s="91"/>
      <c r="AD244" s="92">
        <f t="shared" si="58"/>
        <v>1815.8931024379988</v>
      </c>
    </row>
    <row r="245" spans="1:30" ht="11.25">
      <c r="A245" s="15"/>
      <c r="B245" s="93">
        <f>IF(C245&gt;$K$1,0,'Ranges and Data'!$A$10)</f>
        <v>535.2234266961229</v>
      </c>
      <c r="C245" s="94">
        <f t="shared" si="59"/>
        <v>38255.333333332965</v>
      </c>
      <c r="D245" s="85">
        <f t="shared" si="51"/>
        <v>10.333333333334343</v>
      </c>
      <c r="E245" s="15"/>
      <c r="F245" s="21"/>
      <c r="G245" s="21"/>
      <c r="H245" s="21"/>
      <c r="I245" s="21"/>
      <c r="J245" s="21"/>
      <c r="K245" s="21"/>
      <c r="L245" s="21"/>
      <c r="M245" s="15"/>
      <c r="N245" s="42"/>
      <c r="O245" s="86">
        <f t="shared" si="63"/>
        <v>0.41485069852287876</v>
      </c>
      <c r="P245" s="86">
        <f t="shared" si="63"/>
        <v>13.423987148106008</v>
      </c>
      <c r="Q245" s="86">
        <f t="shared" si="63"/>
        <v>180.18046847260837</v>
      </c>
      <c r="R245" s="86">
        <f t="shared" si="63"/>
        <v>1433.0440079047569</v>
      </c>
      <c r="S245" s="86">
        <f t="shared" si="63"/>
        <v>8052.852691135598</v>
      </c>
      <c r="T245" s="86">
        <f t="shared" si="63"/>
        <v>35330.093853376464</v>
      </c>
      <c r="U245" s="87">
        <f t="shared" si="63"/>
        <v>128777.69137226562</v>
      </c>
      <c r="V245" s="15"/>
      <c r="W245" s="96">
        <f t="shared" si="52"/>
        <v>1909.7742431689617</v>
      </c>
      <c r="X245" s="97">
        <f t="shared" si="53"/>
        <v>17448.57103985959</v>
      </c>
      <c r="Y245" s="98">
        <f t="shared" si="54"/>
        <v>1805.6494283131092</v>
      </c>
      <c r="Z245" s="97">
        <f t="shared" si="55"/>
        <v>16586.990073528195</v>
      </c>
      <c r="AA245" s="98">
        <f t="shared" si="56"/>
        <v>1798.2684654242119</v>
      </c>
      <c r="AB245" s="98">
        <f t="shared" si="57"/>
        <v>16525.736768123257</v>
      </c>
      <c r="AC245" s="91"/>
      <c r="AD245" s="92">
        <f t="shared" si="58"/>
        <v>1798.2324798750833</v>
      </c>
    </row>
    <row r="246" spans="1:30" ht="11.25">
      <c r="A246" s="15"/>
      <c r="B246" s="93">
        <f>IF(C246&gt;$K$1,0,'Ranges and Data'!$A$10)</f>
        <v>535.2234266961229</v>
      </c>
      <c r="C246" s="94">
        <f t="shared" si="59"/>
        <v>38285.74999999963</v>
      </c>
      <c r="D246" s="85">
        <f t="shared" si="51"/>
        <v>10.250000000001016</v>
      </c>
      <c r="E246" s="15"/>
      <c r="F246" s="21"/>
      <c r="G246" s="21"/>
      <c r="H246" s="21"/>
      <c r="I246" s="21"/>
      <c r="J246" s="21"/>
      <c r="K246" s="21"/>
      <c r="L246" s="21"/>
      <c r="M246" s="15"/>
      <c r="N246" s="42"/>
      <c r="O246" s="86">
        <f t="shared" si="63"/>
        <v>0.43951900475416233</v>
      </c>
      <c r="P246" s="86">
        <f t="shared" si="63"/>
        <v>13.828976046186297</v>
      </c>
      <c r="Q246" s="86">
        <f t="shared" si="63"/>
        <v>181.76942607884803</v>
      </c>
      <c r="R246" s="86">
        <f t="shared" si="63"/>
        <v>1421.7071157152725</v>
      </c>
      <c r="S246" s="86">
        <f t="shared" si="63"/>
        <v>7878.698391792241</v>
      </c>
      <c r="T246" s="86">
        <f t="shared" si="63"/>
        <v>34156.27641850163</v>
      </c>
      <c r="U246" s="87">
        <f t="shared" si="63"/>
        <v>123207.33345382746</v>
      </c>
      <c r="V246" s="15"/>
      <c r="W246" s="96">
        <f t="shared" si="52"/>
        <v>1890.2829395847918</v>
      </c>
      <c r="X246" s="97">
        <f t="shared" si="53"/>
        <v>17131.21143302037</v>
      </c>
      <c r="Y246" s="98">
        <f t="shared" si="54"/>
        <v>1788.0290780979922</v>
      </c>
      <c r="Z246" s="97">
        <f t="shared" si="55"/>
        <v>16292.665964420632</v>
      </c>
      <c r="AA246" s="98">
        <f t="shared" si="56"/>
        <v>1780.7789653786867</v>
      </c>
      <c r="AB246" s="98">
        <f t="shared" si="57"/>
        <v>16233.035770317436</v>
      </c>
      <c r="AC246" s="91"/>
      <c r="AD246" s="92">
        <f t="shared" si="58"/>
        <v>1780.7436171965417</v>
      </c>
    </row>
    <row r="247" spans="1:30" ht="11.25">
      <c r="A247" s="15"/>
      <c r="B247" s="93">
        <f>IF(C247&gt;$K$1,0,'Ranges and Data'!$A$10)</f>
        <v>535.2234266961229</v>
      </c>
      <c r="C247" s="94">
        <f t="shared" si="59"/>
        <v>38316.16666666629</v>
      </c>
      <c r="D247" s="85">
        <f t="shared" si="51"/>
        <v>10.16666666666769</v>
      </c>
      <c r="E247" s="15"/>
      <c r="F247" s="21"/>
      <c r="G247" s="21"/>
      <c r="H247" s="21"/>
      <c r="I247" s="21"/>
      <c r="J247" s="21"/>
      <c r="K247" s="21"/>
      <c r="L247" s="21"/>
      <c r="M247" s="15"/>
      <c r="N247" s="42"/>
      <c r="O247" s="86">
        <f t="shared" si="63"/>
        <v>0.46565416480656063</v>
      </c>
      <c r="P247" s="86">
        <f t="shared" si="63"/>
        <v>14.246183073333508</v>
      </c>
      <c r="Q247" s="86">
        <f t="shared" si="63"/>
        <v>183.37239622649037</v>
      </c>
      <c r="R247" s="86">
        <f t="shared" si="63"/>
        <v>1410.4599103210344</v>
      </c>
      <c r="S247" s="86">
        <f t="shared" si="63"/>
        <v>7708.310424845992</v>
      </c>
      <c r="T247" s="86">
        <f t="shared" si="63"/>
        <v>33021.45823950573</v>
      </c>
      <c r="U247" s="87">
        <f t="shared" si="63"/>
        <v>117877.9247790732</v>
      </c>
      <c r="V247" s="15"/>
      <c r="W247" s="96">
        <f t="shared" si="52"/>
        <v>1870.9905657520146</v>
      </c>
      <c r="X247" s="97">
        <f t="shared" si="53"/>
        <v>16818.512306349006</v>
      </c>
      <c r="Y247" s="98">
        <f t="shared" si="54"/>
        <v>1770.5806752923975</v>
      </c>
      <c r="Z247" s="97">
        <f t="shared" si="55"/>
        <v>16002.506616016692</v>
      </c>
      <c r="AA247" s="98">
        <f t="shared" si="56"/>
        <v>1763.4595637460088</v>
      </c>
      <c r="AB247" s="98">
        <f t="shared" si="57"/>
        <v>15944.46507161673</v>
      </c>
      <c r="AC247" s="91"/>
      <c r="AD247" s="92">
        <f t="shared" si="58"/>
        <v>1763.4248439370338</v>
      </c>
    </row>
    <row r="248" spans="1:30" ht="11.25">
      <c r="A248" s="15"/>
      <c r="B248" s="93">
        <f>IF(C248&gt;$K$1,0,'Ranges and Data'!$A$10)</f>
        <v>535.2234266961229</v>
      </c>
      <c r="C248" s="94">
        <f t="shared" si="59"/>
        <v>38346.58333333296</v>
      </c>
      <c r="D248" s="85">
        <f t="shared" si="51"/>
        <v>10.083333333334362</v>
      </c>
      <c r="E248" s="15"/>
      <c r="F248" s="21"/>
      <c r="G248" s="21"/>
      <c r="H248" s="21"/>
      <c r="I248" s="21"/>
      <c r="J248" s="21"/>
      <c r="K248" s="21"/>
      <c r="L248" s="21"/>
      <c r="M248" s="15"/>
      <c r="N248" s="42"/>
      <c r="O248" s="86">
        <f t="shared" si="63"/>
        <v>0.49334340234724944</v>
      </c>
      <c r="P248" s="86">
        <f t="shared" si="63"/>
        <v>14.6759768388567</v>
      </c>
      <c r="Q248" s="86">
        <f t="shared" si="63"/>
        <v>184.98950248794273</v>
      </c>
      <c r="R248" s="86">
        <f t="shared" si="63"/>
        <v>1399.3016822047337</v>
      </c>
      <c r="S248" s="86">
        <f t="shared" si="63"/>
        <v>7541.607338045724</v>
      </c>
      <c r="T248" s="86">
        <f t="shared" si="63"/>
        <v>31924.343593635098</v>
      </c>
      <c r="U248" s="87">
        <f t="shared" si="63"/>
        <v>112779.04294088244</v>
      </c>
      <c r="V248" s="15"/>
      <c r="W248" s="96">
        <f t="shared" si="52"/>
        <v>1851.8950913782073</v>
      </c>
      <c r="X248" s="97">
        <f t="shared" si="53"/>
        <v>16510.411586854254</v>
      </c>
      <c r="Y248" s="98">
        <f t="shared" si="54"/>
        <v>1753.3025419551211</v>
      </c>
      <c r="Z248" s="97">
        <f t="shared" si="55"/>
        <v>15716.45877278697</v>
      </c>
      <c r="AA248" s="98">
        <f t="shared" si="56"/>
        <v>1746.3086061924366</v>
      </c>
      <c r="AB248" s="98">
        <f t="shared" si="57"/>
        <v>15659.972018171384</v>
      </c>
      <c r="AC248" s="91"/>
      <c r="AD248" s="92">
        <f t="shared" si="58"/>
        <v>1746.274505877471</v>
      </c>
    </row>
    <row r="249" spans="1:30" ht="11.25">
      <c r="A249" s="15"/>
      <c r="B249" s="93">
        <f>IF(C249&gt;$K$1,0,'Ranges and Data'!$A$10)</f>
        <v>535.2234266961229</v>
      </c>
      <c r="C249" s="94">
        <f t="shared" si="59"/>
        <v>38376.99999999962</v>
      </c>
      <c r="D249" s="85">
        <f t="shared" si="51"/>
        <v>10.000000000001037</v>
      </c>
      <c r="E249" s="15"/>
      <c r="F249" s="21"/>
      <c r="G249" s="21"/>
      <c r="H249" s="21"/>
      <c r="I249" s="21"/>
      <c r="J249" s="21"/>
      <c r="K249" s="21"/>
      <c r="L249" s="21"/>
      <c r="M249" s="15"/>
      <c r="N249" s="42"/>
      <c r="O249" s="86">
        <f aca="true" t="shared" si="64" ref="O249:U258">$B249*O$7^$D249</f>
        <v>0.522679127632557</v>
      </c>
      <c r="P249" s="86">
        <f t="shared" si="64"/>
        <v>15.118737072656455</v>
      </c>
      <c r="Q249" s="86">
        <f t="shared" si="64"/>
        <v>186.6208695253605</v>
      </c>
      <c r="R249" s="86">
        <f t="shared" si="64"/>
        <v>1388.2317274620923</v>
      </c>
      <c r="S249" s="86">
        <f t="shared" si="64"/>
        <v>7378.50944066014</v>
      </c>
      <c r="T249" s="86">
        <f t="shared" si="64"/>
        <v>30863.679807610013</v>
      </c>
      <c r="U249" s="87">
        <f t="shared" si="64"/>
        <v>107900.716359739</v>
      </c>
      <c r="V249" s="15"/>
      <c r="W249" s="96">
        <f t="shared" si="52"/>
        <v>1832.9945068922675</v>
      </c>
      <c r="X249" s="97">
        <f t="shared" si="53"/>
        <v>16206.84798313402</v>
      </c>
      <c r="Y249" s="98">
        <f t="shared" si="54"/>
        <v>1736.1930165190765</v>
      </c>
      <c r="Z249" s="97">
        <f t="shared" si="55"/>
        <v>15434.469821985971</v>
      </c>
      <c r="AA249" s="98">
        <f t="shared" si="56"/>
        <v>1729.3244544738563</v>
      </c>
      <c r="AB249" s="98">
        <f t="shared" si="57"/>
        <v>15379.504589641998</v>
      </c>
      <c r="AC249" s="91"/>
      <c r="AD249" s="92">
        <f t="shared" si="58"/>
        <v>1729.2909648870148</v>
      </c>
    </row>
    <row r="250" spans="1:30" ht="11.25">
      <c r="A250" s="15"/>
      <c r="B250" s="93">
        <f>IF(C250&gt;$K$1,0,'Ranges and Data'!$A$10)</f>
        <v>535.2234266961229</v>
      </c>
      <c r="C250" s="94">
        <f t="shared" si="59"/>
        <v>38407.416666666286</v>
      </c>
      <c r="D250" s="85">
        <f t="shared" si="51"/>
        <v>9.91666666666771</v>
      </c>
      <c r="E250" s="15"/>
      <c r="F250" s="21"/>
      <c r="G250" s="21"/>
      <c r="H250" s="21"/>
      <c r="I250" s="21"/>
      <c r="J250" s="21"/>
      <c r="K250" s="21"/>
      <c r="L250" s="21"/>
      <c r="M250" s="15"/>
      <c r="N250" s="42"/>
      <c r="O250" s="86">
        <f t="shared" si="64"/>
        <v>0.553759245918603</v>
      </c>
      <c r="P250" s="86">
        <f t="shared" si="64"/>
        <v>15.574854960722568</v>
      </c>
      <c r="Q250" s="86">
        <f t="shared" si="64"/>
        <v>188.2666231002573</v>
      </c>
      <c r="R250" s="86">
        <f t="shared" si="64"/>
        <v>1377.249347757459</v>
      </c>
      <c r="S250" s="86">
        <f t="shared" si="64"/>
        <v>7218.93876538242</v>
      </c>
      <c r="T250" s="86">
        <f t="shared" si="64"/>
        <v>29838.25582733647</v>
      </c>
      <c r="U250" s="87">
        <f t="shared" si="64"/>
        <v>103233.40478290585</v>
      </c>
      <c r="V250" s="15"/>
      <c r="W250" s="96">
        <f t="shared" si="52"/>
        <v>1814.2868232329315</v>
      </c>
      <c r="X250" s="97">
        <f t="shared" si="53"/>
        <v>15907.760975887235</v>
      </c>
      <c r="Y250" s="98">
        <f t="shared" si="54"/>
        <v>1719.2504536315025</v>
      </c>
      <c r="Z250" s="97">
        <f t="shared" si="55"/>
        <v>15156.487786178273</v>
      </c>
      <c r="AA250" s="98">
        <f t="shared" si="56"/>
        <v>1712.5054862792967</v>
      </c>
      <c r="AB250" s="98">
        <f t="shared" si="57"/>
        <v>15103.011391857313</v>
      </c>
      <c r="AC250" s="91"/>
      <c r="AD250" s="92">
        <f t="shared" si="58"/>
        <v>1712.472598766605</v>
      </c>
    </row>
    <row r="251" spans="1:30" ht="11.25">
      <c r="A251" s="15"/>
      <c r="B251" s="93">
        <f>IF(C251&gt;$K$1,0,'Ranges and Data'!$A$10)</f>
        <v>535.2234266961229</v>
      </c>
      <c r="C251" s="94">
        <f t="shared" si="59"/>
        <v>38437.83333333295</v>
      </c>
      <c r="D251" s="85">
        <f t="shared" si="51"/>
        <v>9.833333333334384</v>
      </c>
      <c r="E251" s="15"/>
      <c r="F251" s="21"/>
      <c r="G251" s="21"/>
      <c r="H251" s="21"/>
      <c r="I251" s="21"/>
      <c r="J251" s="21"/>
      <c r="K251" s="21"/>
      <c r="L251" s="21"/>
      <c r="M251" s="15"/>
      <c r="N251" s="42"/>
      <c r="O251" s="86">
        <f t="shared" si="64"/>
        <v>0.5866874842109906</v>
      </c>
      <c r="P251" s="86">
        <f t="shared" si="64"/>
        <v>16.044733490753288</v>
      </c>
      <c r="Q251" s="86">
        <f t="shared" si="64"/>
        <v>189.92689008319994</v>
      </c>
      <c r="R251" s="86">
        <f t="shared" si="64"/>
        <v>1366.3538502797558</v>
      </c>
      <c r="S251" s="86">
        <f t="shared" si="64"/>
        <v>7062.819031058745</v>
      </c>
      <c r="T251" s="86">
        <f t="shared" si="64"/>
        <v>28846.90083513803</v>
      </c>
      <c r="U251" s="87">
        <f t="shared" si="64"/>
        <v>98767.98062712193</v>
      </c>
      <c r="V251" s="15"/>
      <c r="W251" s="96">
        <f t="shared" si="52"/>
        <v>1795.7700716394477</v>
      </c>
      <c r="X251" s="97">
        <f t="shared" si="53"/>
        <v>15613.09080853798</v>
      </c>
      <c r="Y251" s="98">
        <f t="shared" si="54"/>
        <v>1702.4732239957434</v>
      </c>
      <c r="Z251" s="97">
        <f t="shared" si="55"/>
        <v>14882.461315849489</v>
      </c>
      <c r="AA251" s="98">
        <f t="shared" si="56"/>
        <v>1695.8500950759715</v>
      </c>
      <c r="AB251" s="98">
        <f t="shared" si="57"/>
        <v>14830.441649554987</v>
      </c>
      <c r="AC251" s="91"/>
      <c r="AD251" s="92">
        <f t="shared" si="58"/>
        <v>1695.8178010940176</v>
      </c>
    </row>
    <row r="252" spans="1:30" ht="11.25">
      <c r="A252" s="15"/>
      <c r="B252" s="93">
        <f>IF(C252&gt;$K$1,0,'Ranges and Data'!$A$10)</f>
        <v>535.2234266961229</v>
      </c>
      <c r="C252" s="94">
        <f t="shared" si="59"/>
        <v>38468.249999999614</v>
      </c>
      <c r="D252" s="85">
        <f t="shared" si="51"/>
        <v>9.750000000001057</v>
      </c>
      <c r="E252" s="15"/>
      <c r="F252" s="21"/>
      <c r="G252" s="21"/>
      <c r="H252" s="21"/>
      <c r="I252" s="21"/>
      <c r="J252" s="21"/>
      <c r="K252" s="21"/>
      <c r="L252" s="21"/>
      <c r="M252" s="15"/>
      <c r="N252" s="42"/>
      <c r="O252" s="86">
        <f t="shared" si="64"/>
        <v>0.6215737374440435</v>
      </c>
      <c r="P252" s="86">
        <f t="shared" si="64"/>
        <v>16.528787808201653</v>
      </c>
      <c r="Q252" s="86">
        <f t="shared" si="64"/>
        <v>191.60179846358872</v>
      </c>
      <c r="R252" s="86">
        <f t="shared" si="64"/>
        <v>1355.5445476987718</v>
      </c>
      <c r="S252" s="86">
        <f t="shared" si="64"/>
        <v>6910.075606222855</v>
      </c>
      <c r="T252" s="86">
        <f t="shared" si="64"/>
        <v>27888.48291292935</v>
      </c>
      <c r="U252" s="87">
        <f t="shared" si="64"/>
        <v>94495.71112833105</v>
      </c>
      <c r="V252" s="15"/>
      <c r="W252" s="96">
        <f t="shared" si="52"/>
        <v>1777.442303444391</v>
      </c>
      <c r="X252" s="97">
        <f t="shared" si="53"/>
        <v>15322.778477970547</v>
      </c>
      <c r="Y252" s="98">
        <f t="shared" si="54"/>
        <v>1685.8597142145625</v>
      </c>
      <c r="Z252" s="97">
        <f t="shared" si="55"/>
        <v>14612.339682100812</v>
      </c>
      <c r="AA252" s="98">
        <f t="shared" si="56"/>
        <v>1679.3566899558193</v>
      </c>
      <c r="AB252" s="98">
        <f t="shared" si="57"/>
        <v>14561.745199204197</v>
      </c>
      <c r="AC252" s="91"/>
      <c r="AD252" s="92">
        <f t="shared" si="58"/>
        <v>1679.3249810704244</v>
      </c>
    </row>
    <row r="253" spans="1:30" ht="11.25">
      <c r="A253" s="15"/>
      <c r="B253" s="93">
        <f>IF(C253&gt;$K$1,0,'Ranges and Data'!$A$10)</f>
        <v>535.2234266961229</v>
      </c>
      <c r="C253" s="94">
        <f t="shared" si="59"/>
        <v>38498.66666666628</v>
      </c>
      <c r="D253" s="85">
        <f t="shared" si="51"/>
        <v>9.66666666666773</v>
      </c>
      <c r="E253" s="15"/>
      <c r="F253" s="21"/>
      <c r="G253" s="21"/>
      <c r="H253" s="21"/>
      <c r="I253" s="21"/>
      <c r="J253" s="21"/>
      <c r="K253" s="21"/>
      <c r="L253" s="21"/>
      <c r="M253" s="15"/>
      <c r="N253" s="42"/>
      <c r="O253" s="86">
        <f t="shared" si="64"/>
        <v>0.6585344352449358</v>
      </c>
      <c r="P253" s="86">
        <f t="shared" si="64"/>
        <v>17.027445583063347</v>
      </c>
      <c r="Q253" s="86">
        <f t="shared" si="64"/>
        <v>193.29147735952412</v>
      </c>
      <c r="R253" s="86">
        <f t="shared" si="64"/>
        <v>1344.8207581218046</v>
      </c>
      <c r="S253" s="86">
        <f t="shared" si="64"/>
        <v>6760.635473419223</v>
      </c>
      <c r="T253" s="86">
        <f t="shared" si="64"/>
        <v>26961.90774980457</v>
      </c>
      <c r="U253" s="87">
        <f t="shared" si="64"/>
        <v>90408.24126353499</v>
      </c>
      <c r="V253" s="15"/>
      <c r="W253" s="96">
        <f t="shared" si="52"/>
        <v>1759.3015898685842</v>
      </c>
      <c r="X253" s="97">
        <f t="shared" si="53"/>
        <v>15036.765725374167</v>
      </c>
      <c r="Y253" s="98">
        <f t="shared" si="54"/>
        <v>1669.4083266349867</v>
      </c>
      <c r="Z253" s="97">
        <f t="shared" si="55"/>
        <v>14346.072769426415</v>
      </c>
      <c r="AA253" s="98">
        <f t="shared" si="56"/>
        <v>1663.0236954835468</v>
      </c>
      <c r="AB253" s="98">
        <f t="shared" si="57"/>
        <v>14296.872481909442</v>
      </c>
      <c r="AC253" s="91"/>
      <c r="AD253" s="92">
        <f t="shared" si="58"/>
        <v>1662.9925633684456</v>
      </c>
    </row>
    <row r="254" spans="1:30" ht="11.25">
      <c r="A254" s="15"/>
      <c r="B254" s="93">
        <f>IF(C254&gt;$K$1,0,'Ranges and Data'!$A$10)</f>
        <v>535.2234266961229</v>
      </c>
      <c r="C254" s="94">
        <f t="shared" si="59"/>
        <v>38529.08333333294</v>
      </c>
      <c r="D254" s="85">
        <f t="shared" si="51"/>
        <v>9.583333333334403</v>
      </c>
      <c r="E254" s="15"/>
      <c r="F254" s="21"/>
      <c r="G254" s="21"/>
      <c r="H254" s="21"/>
      <c r="I254" s="21"/>
      <c r="J254" s="21"/>
      <c r="K254" s="21"/>
      <c r="L254" s="21"/>
      <c r="M254" s="15"/>
      <c r="N254" s="42"/>
      <c r="O254" s="86">
        <f t="shared" si="64"/>
        <v>0.697692930506747</v>
      </c>
      <c r="P254" s="86">
        <f t="shared" si="64"/>
        <v>17.541147387730206</v>
      </c>
      <c r="Q254" s="86">
        <f t="shared" si="64"/>
        <v>194.99605702776054</v>
      </c>
      <c r="R254" s="86">
        <f t="shared" si="64"/>
        <v>1334.181805050643</v>
      </c>
      <c r="S254" s="86">
        <f t="shared" si="64"/>
        <v>6614.427194297809</v>
      </c>
      <c r="T254" s="86">
        <f t="shared" si="64"/>
        <v>26066.11739256544</v>
      </c>
      <c r="U254" s="87">
        <f t="shared" si="64"/>
        <v>86497.57741137294</v>
      </c>
      <c r="V254" s="15"/>
      <c r="W254" s="96">
        <f t="shared" si="52"/>
        <v>1741.3460218181215</v>
      </c>
      <c r="X254" s="97">
        <f t="shared" si="53"/>
        <v>14754.995027196164</v>
      </c>
      <c r="Y254" s="98">
        <f t="shared" si="54"/>
        <v>1653.117479194672</v>
      </c>
      <c r="Z254" s="97">
        <f t="shared" si="55"/>
        <v>14083.611068572718</v>
      </c>
      <c r="AA254" s="98">
        <f t="shared" si="56"/>
        <v>1646.8495515461407</v>
      </c>
      <c r="AB254" s="98">
        <f t="shared" si="57"/>
        <v>14035.774536394438</v>
      </c>
      <c r="AC254" s="91"/>
      <c r="AD254" s="92">
        <f t="shared" si="58"/>
        <v>1646.8189879816819</v>
      </c>
    </row>
    <row r="255" spans="1:30" ht="11.25">
      <c r="A255" s="15"/>
      <c r="B255" s="93">
        <f>IF(C255&gt;$K$1,0,'Ranges and Data'!$A$10)</f>
        <v>535.2234266961229</v>
      </c>
      <c r="C255" s="94">
        <f t="shared" si="59"/>
        <v>38559.49999999961</v>
      </c>
      <c r="D255" s="85">
        <f t="shared" si="51"/>
        <v>9.500000000001076</v>
      </c>
      <c r="E255" s="15"/>
      <c r="F255" s="21"/>
      <c r="G255" s="21"/>
      <c r="H255" s="21"/>
      <c r="I255" s="21"/>
      <c r="J255" s="21"/>
      <c r="K255" s="21"/>
      <c r="L255" s="21"/>
      <c r="M255" s="15"/>
      <c r="N255" s="42"/>
      <c r="O255" s="86">
        <f t="shared" si="64"/>
        <v>0.7391799110672798</v>
      </c>
      <c r="P255" s="86">
        <f t="shared" si="64"/>
        <v>18.07034708624326</v>
      </c>
      <c r="Q255" s="86">
        <f t="shared" si="64"/>
        <v>196.71566887374766</v>
      </c>
      <c r="R255" s="86">
        <f t="shared" si="64"/>
        <v>1323.6270173388928</v>
      </c>
      <c r="S255" s="86">
        <f t="shared" si="64"/>
        <v>6471.380875463664</v>
      </c>
      <c r="T255" s="86">
        <f t="shared" si="64"/>
        <v>25200.089037762074</v>
      </c>
      <c r="U255" s="87">
        <f t="shared" si="64"/>
        <v>82756.07171947221</v>
      </c>
      <c r="V255" s="15"/>
      <c r="W255" s="96">
        <f t="shared" si="52"/>
        <v>1723.5737096834555</v>
      </c>
      <c r="X255" s="97">
        <f t="shared" si="53"/>
        <v>14477.409586202195</v>
      </c>
      <c r="Y255" s="98">
        <f t="shared" si="54"/>
        <v>1636.9856052697571</v>
      </c>
      <c r="Z255" s="97">
        <f t="shared" si="55"/>
        <v>13824.905669478556</v>
      </c>
      <c r="AA255" s="98">
        <f t="shared" si="56"/>
        <v>1630.8327132038496</v>
      </c>
      <c r="AB255" s="98">
        <f t="shared" si="57"/>
        <v>13778.402992065314</v>
      </c>
      <c r="AC255" s="91"/>
      <c r="AD255" s="92">
        <f t="shared" si="58"/>
        <v>1630.8027100757092</v>
      </c>
    </row>
    <row r="256" spans="1:30" ht="11.25">
      <c r="A256" s="15"/>
      <c r="B256" s="93">
        <f>IF(C256&gt;$K$1,0,'Ranges and Data'!$A$10)</f>
        <v>535.2234266961229</v>
      </c>
      <c r="C256" s="94">
        <f t="shared" si="59"/>
        <v>38589.91666666627</v>
      </c>
      <c r="D256" s="85">
        <f t="shared" si="51"/>
        <v>9.41666666666775</v>
      </c>
      <c r="E256" s="15"/>
      <c r="F256" s="21"/>
      <c r="G256" s="21"/>
      <c r="H256" s="21"/>
      <c r="I256" s="21"/>
      <c r="J256" s="21"/>
      <c r="K256" s="21"/>
      <c r="L256" s="21"/>
      <c r="M256" s="15"/>
      <c r="N256" s="42"/>
      <c r="O256" s="86">
        <f t="shared" si="64"/>
        <v>0.7831338358675655</v>
      </c>
      <c r="P256" s="86">
        <f t="shared" si="64"/>
        <v>18.61551223528905</v>
      </c>
      <c r="Q256" s="86">
        <f t="shared" si="64"/>
        <v>198.45044546176047</v>
      </c>
      <c r="R256" s="86">
        <f t="shared" si="64"/>
        <v>1313.1557291496351</v>
      </c>
      <c r="S256" s="86">
        <f t="shared" si="64"/>
        <v>6331.4281350651</v>
      </c>
      <c r="T256" s="86">
        <f t="shared" si="64"/>
        <v>24362.8338638674</v>
      </c>
      <c r="U256" s="87">
        <f t="shared" si="64"/>
        <v>79176.40714799908</v>
      </c>
      <c r="V256" s="15"/>
      <c r="W256" s="96">
        <f t="shared" si="52"/>
        <v>1705.9827831405416</v>
      </c>
      <c r="X256" s="97">
        <f t="shared" si="53"/>
        <v>14203.953322642454</v>
      </c>
      <c r="Y256" s="98">
        <f t="shared" si="54"/>
        <v>1621.0111535242122</v>
      </c>
      <c r="Z256" s="97">
        <f t="shared" si="55"/>
        <v>13569.908254295457</v>
      </c>
      <c r="AA256" s="98">
        <f t="shared" si="56"/>
        <v>1614.9716505426106</v>
      </c>
      <c r="AB256" s="98">
        <f t="shared" si="57"/>
        <v>13524.710062152211</v>
      </c>
      <c r="AC256" s="91"/>
      <c r="AD256" s="92">
        <f t="shared" si="58"/>
        <v>1614.9421998405205</v>
      </c>
    </row>
    <row r="257" spans="1:30" ht="11.25">
      <c r="A257" s="15"/>
      <c r="B257" s="93">
        <f>IF(C257&gt;$K$1,0,'Ranges and Data'!$A$10)</f>
        <v>535.2234266961229</v>
      </c>
      <c r="C257" s="94">
        <f t="shared" si="59"/>
        <v>38620.333333332936</v>
      </c>
      <c r="D257" s="85">
        <f t="shared" si="51"/>
        <v>9.333333333334423</v>
      </c>
      <c r="E257" s="15"/>
      <c r="F257" s="21"/>
      <c r="G257" s="21"/>
      <c r="H257" s="21"/>
      <c r="I257" s="21"/>
      <c r="J257" s="21"/>
      <c r="K257" s="21"/>
      <c r="L257" s="21"/>
      <c r="M257" s="15"/>
      <c r="N257" s="42"/>
      <c r="O257" s="86">
        <f t="shared" si="64"/>
        <v>0.8297013970457119</v>
      </c>
      <c r="P257" s="86">
        <f t="shared" si="64"/>
        <v>19.17712449729375</v>
      </c>
      <c r="Q257" s="86">
        <f t="shared" si="64"/>
        <v>200.2005205251187</v>
      </c>
      <c r="R257" s="86">
        <f t="shared" si="64"/>
        <v>1302.7672799134252</v>
      </c>
      <c r="S257" s="86">
        <f t="shared" si="64"/>
        <v>6194.502070104437</v>
      </c>
      <c r="T257" s="86">
        <f t="shared" si="64"/>
        <v>23553.395902251734</v>
      </c>
      <c r="U257" s="87">
        <f t="shared" si="64"/>
        <v>75751.58316015948</v>
      </c>
      <c r="V257" s="15"/>
      <c r="W257" s="96">
        <f t="shared" si="52"/>
        <v>1688.5713909540057</v>
      </c>
      <c r="X257" s="97">
        <f t="shared" si="53"/>
        <v>13934.570865522452</v>
      </c>
      <c r="Y257" s="98">
        <f t="shared" si="54"/>
        <v>1605.1925877606516</v>
      </c>
      <c r="Z257" s="97">
        <f t="shared" si="55"/>
        <v>13318.571090487056</v>
      </c>
      <c r="AA257" s="98">
        <f t="shared" si="56"/>
        <v>1599.264848527916</v>
      </c>
      <c r="AB257" s="98">
        <f t="shared" si="57"/>
        <v>13274.64853692844</v>
      </c>
      <c r="AC257" s="91"/>
      <c r="AD257" s="92">
        <f t="shared" si="58"/>
        <v>1599.2359423444072</v>
      </c>
    </row>
    <row r="258" spans="1:30" ht="11.25">
      <c r="A258" s="15"/>
      <c r="B258" s="93">
        <f>IF(C258&gt;$K$1,0,'Ranges and Data'!$A$10)</f>
        <v>535.2234266961229</v>
      </c>
      <c r="C258" s="94">
        <f t="shared" si="59"/>
        <v>38650.7499999996</v>
      </c>
      <c r="D258" s="85">
        <f t="shared" si="51"/>
        <v>9.250000000001096</v>
      </c>
      <c r="E258" s="15"/>
      <c r="F258" s="21"/>
      <c r="G258" s="21"/>
      <c r="H258" s="21"/>
      <c r="I258" s="21"/>
      <c r="J258" s="21"/>
      <c r="K258" s="21"/>
      <c r="L258" s="21"/>
      <c r="M258" s="15"/>
      <c r="N258" s="42"/>
      <c r="O258" s="86">
        <f t="shared" si="64"/>
        <v>0.8790380095082756</v>
      </c>
      <c r="P258" s="86">
        <f t="shared" si="64"/>
        <v>19.755680065979863</v>
      </c>
      <c r="Q258" s="86">
        <f t="shared" si="64"/>
        <v>201.9660289764961</v>
      </c>
      <c r="R258" s="86">
        <f t="shared" si="64"/>
        <v>1292.461014286621</v>
      </c>
      <c r="S258" s="86">
        <f t="shared" si="64"/>
        <v>6060.5372244556975</v>
      </c>
      <c r="T258" s="86">
        <f t="shared" si="64"/>
        <v>22770.850945668484</v>
      </c>
      <c r="U258" s="87">
        <f t="shared" si="64"/>
        <v>72474.90203166624</v>
      </c>
      <c r="V258" s="15"/>
      <c r="W258" s="96">
        <f t="shared" si="52"/>
        <v>1671.3377007823256</v>
      </c>
      <c r="X258" s="97">
        <f t="shared" si="53"/>
        <v>13669.207543977316</v>
      </c>
      <c r="Y258" s="98">
        <f t="shared" si="54"/>
        <v>1589.5283867726023</v>
      </c>
      <c r="Z258" s="97">
        <f t="shared" si="55"/>
        <v>13070.84702400678</v>
      </c>
      <c r="AA258" s="98">
        <f t="shared" si="56"/>
        <v>1583.7108068600953</v>
      </c>
      <c r="AB258" s="98">
        <f t="shared" si="57"/>
        <v>13028.171777006242</v>
      </c>
      <c r="AC258" s="91"/>
      <c r="AD258" s="92">
        <f t="shared" si="58"/>
        <v>1583.6824373892568</v>
      </c>
    </row>
    <row r="259" spans="1:30" ht="11.25">
      <c r="A259" s="15"/>
      <c r="B259" s="93">
        <f>IF(C259&gt;$K$1,0,'Ranges and Data'!$A$10)</f>
        <v>535.2234266961229</v>
      </c>
      <c r="C259" s="94">
        <f t="shared" si="59"/>
        <v>38681.166666666264</v>
      </c>
      <c r="D259" s="85">
        <f t="shared" si="51"/>
        <v>9.16666666666777</v>
      </c>
      <c r="E259" s="15"/>
      <c r="F259" s="21"/>
      <c r="G259" s="21"/>
      <c r="H259" s="21"/>
      <c r="I259" s="21"/>
      <c r="J259" s="21"/>
      <c r="K259" s="21"/>
      <c r="L259" s="21"/>
      <c r="M259" s="15"/>
      <c r="N259" s="42"/>
      <c r="O259" s="86">
        <f aca="true" t="shared" si="65" ref="O259:U268">$B259*O$7^$D259</f>
        <v>0.9313083296130693</v>
      </c>
      <c r="P259" s="86">
        <f t="shared" si="65"/>
        <v>20.351690104761577</v>
      </c>
      <c r="Q259" s="86">
        <f t="shared" si="65"/>
        <v>203.7471069183209</v>
      </c>
      <c r="R259" s="86">
        <f t="shared" si="65"/>
        <v>1282.236282110041</v>
      </c>
      <c r="S259" s="86">
        <f t="shared" si="65"/>
        <v>5929.469557573965</v>
      </c>
      <c r="T259" s="86">
        <f t="shared" si="65"/>
        <v>22014.30549300454</v>
      </c>
      <c r="U259" s="87">
        <f t="shared" si="65"/>
        <v>69339.9557523989</v>
      </c>
      <c r="V259" s="15"/>
      <c r="W259" s="96">
        <f t="shared" si="52"/>
        <v>1654.279898984998</v>
      </c>
      <c r="X259" s="97">
        <f t="shared" si="53"/>
        <v>13407.80937874828</v>
      </c>
      <c r="Y259" s="98">
        <f t="shared" si="54"/>
        <v>1574.0170441982193</v>
      </c>
      <c r="Z259" s="97">
        <f t="shared" si="55"/>
        <v>12826.689472552991</v>
      </c>
      <c r="AA259" s="98">
        <f t="shared" si="56"/>
        <v>1568.3080398310105</v>
      </c>
      <c r="AB259" s="98">
        <f t="shared" si="57"/>
        <v>12785.233706708468</v>
      </c>
      <c r="AC259" s="91"/>
      <c r="AD259" s="92">
        <f t="shared" si="58"/>
        <v>1568.2801993672615</v>
      </c>
    </row>
    <row r="260" spans="1:30" ht="11.25">
      <c r="A260" s="15"/>
      <c r="B260" s="93">
        <f>IF(C260&gt;$K$1,0,'Ranges and Data'!$A$10)</f>
        <v>535.2234266961229</v>
      </c>
      <c r="C260" s="94">
        <f t="shared" si="59"/>
        <v>38711.58333333293</v>
      </c>
      <c r="D260" s="85">
        <f t="shared" si="51"/>
        <v>9.083333333334442</v>
      </c>
      <c r="E260" s="15"/>
      <c r="F260" s="21"/>
      <c r="G260" s="21"/>
      <c r="H260" s="21"/>
      <c r="I260" s="21"/>
      <c r="J260" s="21"/>
      <c r="K260" s="21"/>
      <c r="L260" s="21"/>
      <c r="M260" s="15"/>
      <c r="N260" s="42"/>
      <c r="O260" s="86">
        <f t="shared" si="65"/>
        <v>0.9866868046944447</v>
      </c>
      <c r="P260" s="86">
        <f t="shared" si="65"/>
        <v>20.96568119836612</v>
      </c>
      <c r="Q260" s="86">
        <f t="shared" si="65"/>
        <v>205.54389165326796</v>
      </c>
      <c r="R260" s="86">
        <f t="shared" si="65"/>
        <v>1272.092438367949</v>
      </c>
      <c r="S260" s="86">
        <f t="shared" si="65"/>
        <v>5801.236413881448</v>
      </c>
      <c r="T260" s="86">
        <f t="shared" si="65"/>
        <v>21282.89572909075</v>
      </c>
      <c r="U260" s="87">
        <f t="shared" si="65"/>
        <v>66340.61349463956</v>
      </c>
      <c r="V260" s="15"/>
      <c r="W260" s="96">
        <f t="shared" si="52"/>
        <v>1637.3961904316757</v>
      </c>
      <c r="X260" s="97">
        <f t="shared" si="53"/>
        <v>13150.323073760273</v>
      </c>
      <c r="Y260" s="98">
        <f t="shared" si="54"/>
        <v>1558.657068375423</v>
      </c>
      <c r="Z260" s="97">
        <f t="shared" si="55"/>
        <v>12586.052418900634</v>
      </c>
      <c r="AA260" s="98">
        <f t="shared" si="56"/>
        <v>1553.055076182142</v>
      </c>
      <c r="AB260" s="98">
        <f t="shared" si="57"/>
        <v>12545.788807515159</v>
      </c>
      <c r="AC260" s="91"/>
      <c r="AD260" s="92">
        <f t="shared" si="58"/>
        <v>1553.0277571190184</v>
      </c>
    </row>
    <row r="261" spans="1:30" ht="11.25">
      <c r="A261" s="15"/>
      <c r="B261" s="93">
        <f>IF(C261&gt;$K$1,0,'Ranges and Data'!$A$10)</f>
        <v>535.2234266961229</v>
      </c>
      <c r="C261" s="94">
        <f t="shared" si="59"/>
        <v>38741.99999999959</v>
      </c>
      <c r="D261" s="85">
        <f t="shared" si="51"/>
        <v>9.000000000001116</v>
      </c>
      <c r="E261" s="15"/>
      <c r="F261" s="21"/>
      <c r="G261" s="21"/>
      <c r="H261" s="21"/>
      <c r="I261" s="21"/>
      <c r="J261" s="21"/>
      <c r="K261" s="21"/>
      <c r="L261" s="21"/>
      <c r="M261" s="15"/>
      <c r="N261" s="42"/>
      <c r="O261" s="86">
        <f t="shared" si="65"/>
        <v>1.0453582552650575</v>
      </c>
      <c r="P261" s="86">
        <f t="shared" si="65"/>
        <v>21.598195818080043</v>
      </c>
      <c r="Q261" s="86">
        <f t="shared" si="65"/>
        <v>207.35652169484325</v>
      </c>
      <c r="R261" s="86">
        <f t="shared" si="65"/>
        <v>1262.028843147366</v>
      </c>
      <c r="S261" s="86">
        <f t="shared" si="65"/>
        <v>5675.776492815609</v>
      </c>
      <c r="T261" s="86">
        <f t="shared" si="65"/>
        <v>20575.78653840733</v>
      </c>
      <c r="U261" s="87">
        <f t="shared" si="65"/>
        <v>63471.00962337854</v>
      </c>
      <c r="V261" s="15"/>
      <c r="W261" s="96">
        <f t="shared" si="52"/>
        <v>1620.6847983132493</v>
      </c>
      <c r="X261" s="97">
        <f t="shared" si="53"/>
        <v>12896.696007799337</v>
      </c>
      <c r="Y261" s="98">
        <f t="shared" si="54"/>
        <v>1543.4469821984508</v>
      </c>
      <c r="Z261" s="97">
        <f t="shared" si="55"/>
        <v>12348.89040430859</v>
      </c>
      <c r="AA261" s="98">
        <f t="shared" si="56"/>
        <v>1537.950458964054</v>
      </c>
      <c r="AB261" s="98">
        <f t="shared" si="57"/>
        <v>12309.792111584326</v>
      </c>
      <c r="AC261" s="91"/>
      <c r="AD261" s="92">
        <f t="shared" si="58"/>
        <v>1537.92365379301</v>
      </c>
    </row>
    <row r="262" spans="1:30" ht="11.25">
      <c r="A262" s="15"/>
      <c r="B262" s="93">
        <f>IF(C262&gt;$K$1,0,'Ranges and Data'!$A$10)</f>
        <v>535.2234266961229</v>
      </c>
      <c r="C262" s="94">
        <f t="shared" si="59"/>
        <v>38772.41666666626</v>
      </c>
      <c r="D262" s="85">
        <f t="shared" si="51"/>
        <v>8.91666666666779</v>
      </c>
      <c r="E262" s="15"/>
      <c r="F262" s="21"/>
      <c r="G262" s="21"/>
      <c r="H262" s="21"/>
      <c r="I262" s="21"/>
      <c r="J262" s="21"/>
      <c r="K262" s="21"/>
      <c r="L262" s="21"/>
      <c r="M262" s="15"/>
      <c r="N262" s="42"/>
      <c r="O262" s="86">
        <f t="shared" si="65"/>
        <v>1.107518491837145</v>
      </c>
      <c r="P262" s="86">
        <f t="shared" si="65"/>
        <v>22.24979280103161</v>
      </c>
      <c r="Q262" s="86">
        <f t="shared" si="65"/>
        <v>209.18513677806192</v>
      </c>
      <c r="R262" s="86">
        <f t="shared" si="65"/>
        <v>1252.0448615976995</v>
      </c>
      <c r="S262" s="86">
        <f t="shared" si="65"/>
        <v>5553.0298195250525</v>
      </c>
      <c r="T262" s="86">
        <f t="shared" si="65"/>
        <v>19892.170551558283</v>
      </c>
      <c r="U262" s="87">
        <f t="shared" si="65"/>
        <v>60725.53222524128</v>
      </c>
      <c r="V262" s="15"/>
      <c r="W262" s="96">
        <f t="shared" si="52"/>
        <v>1604.143963954862</v>
      </c>
      <c r="X262" s="97">
        <f t="shared" si="53"/>
        <v>12646.876226288821</v>
      </c>
      <c r="Y262" s="98">
        <f t="shared" si="54"/>
        <v>1528.3853229758136</v>
      </c>
      <c r="Z262" s="97">
        <f t="shared" si="55"/>
        <v>12115.15852200193</v>
      </c>
      <c r="AA262" s="98">
        <f t="shared" si="56"/>
        <v>1522.9927453972302</v>
      </c>
      <c r="AB262" s="98">
        <f t="shared" si="57"/>
        <v>12077.199195346057</v>
      </c>
      <c r="AC262" s="91"/>
      <c r="AD262" s="92">
        <f t="shared" si="58"/>
        <v>1522.966446706452</v>
      </c>
    </row>
    <row r="263" spans="1:30" ht="11.25">
      <c r="A263" s="15"/>
      <c r="B263" s="93">
        <f>IF(C263&gt;$K$1,0,'Ranges and Data'!$A$10)</f>
        <v>535.2234266961229</v>
      </c>
      <c r="C263" s="94">
        <f t="shared" si="59"/>
        <v>38802.83333333292</v>
      </c>
      <c r="D263" s="85">
        <f t="shared" si="51"/>
        <v>8.833333333334464</v>
      </c>
      <c r="E263" s="15"/>
      <c r="F263" s="21"/>
      <c r="G263" s="21"/>
      <c r="H263" s="21"/>
      <c r="I263" s="21"/>
      <c r="J263" s="21"/>
      <c r="K263" s="21"/>
      <c r="L263" s="21"/>
      <c r="M263" s="15"/>
      <c r="N263" s="42"/>
      <c r="O263" s="86">
        <f t="shared" si="65"/>
        <v>1.1733749684219166</v>
      </c>
      <c r="P263" s="86">
        <f t="shared" si="65"/>
        <v>22.921047843932612</v>
      </c>
      <c r="Q263" s="86">
        <f t="shared" si="65"/>
        <v>211.0298778702204</v>
      </c>
      <c r="R263" s="86">
        <f t="shared" si="65"/>
        <v>1242.1398638906965</v>
      </c>
      <c r="S263" s="86">
        <f t="shared" si="65"/>
        <v>5432.937716199146</v>
      </c>
      <c r="T263" s="86">
        <f t="shared" si="65"/>
        <v>19231.267223425977</v>
      </c>
      <c r="U263" s="87">
        <f t="shared" si="65"/>
        <v>58098.81213360361</v>
      </c>
      <c r="V263" s="15"/>
      <c r="W263" s="96">
        <f t="shared" si="52"/>
        <v>1587.7719466308274</v>
      </c>
      <c r="X263" s="97">
        <f t="shared" si="53"/>
        <v>12400.812433163075</v>
      </c>
      <c r="Y263" s="98">
        <f t="shared" si="54"/>
        <v>1513.470642289631</v>
      </c>
      <c r="Z263" s="97">
        <f t="shared" si="55"/>
        <v>11884.81241072812</v>
      </c>
      <c r="AA263" s="98">
        <f t="shared" si="56"/>
        <v>1508.1805067342582</v>
      </c>
      <c r="AB263" s="98">
        <f t="shared" si="57"/>
        <v>11847.966173169085</v>
      </c>
      <c r="AC263" s="91"/>
      <c r="AD263" s="92">
        <f t="shared" si="58"/>
        <v>1508.1547072074936</v>
      </c>
    </row>
    <row r="264" spans="1:30" ht="11.25">
      <c r="A264" s="15"/>
      <c r="B264" s="93">
        <f>IF(C264&gt;$K$1,0,'Ranges and Data'!$A$10)</f>
        <v>535.2234266961229</v>
      </c>
      <c r="C264" s="94">
        <f t="shared" si="59"/>
        <v>38833.249999999585</v>
      </c>
      <c r="D264" s="85">
        <f t="shared" si="51"/>
        <v>8.750000000001137</v>
      </c>
      <c r="E264" s="15"/>
      <c r="F264" s="21"/>
      <c r="G264" s="21"/>
      <c r="H264" s="21"/>
      <c r="I264" s="21"/>
      <c r="J264" s="21"/>
      <c r="K264" s="21"/>
      <c r="L264" s="21"/>
      <c r="M264" s="15"/>
      <c r="N264" s="42"/>
      <c r="O264" s="86">
        <f t="shared" si="65"/>
        <v>1.2431474748880178</v>
      </c>
      <c r="P264" s="86">
        <f t="shared" si="65"/>
        <v>23.612554011715968</v>
      </c>
      <c r="Q264" s="86">
        <f t="shared" si="65"/>
        <v>212.89088718176345</v>
      </c>
      <c r="R264" s="86">
        <f t="shared" si="65"/>
        <v>1232.313225180711</v>
      </c>
      <c r="S264" s="86">
        <f t="shared" si="65"/>
        <v>5315.44277401769</v>
      </c>
      <c r="T264" s="86">
        <f t="shared" si="65"/>
        <v>18592.321941953498</v>
      </c>
      <c r="U264" s="87">
        <f t="shared" si="65"/>
        <v>55585.7124284324</v>
      </c>
      <c r="V264" s="15"/>
      <c r="W264" s="96">
        <f t="shared" si="52"/>
        <v>1571.5670233814396</v>
      </c>
      <c r="X264" s="97">
        <f t="shared" si="53"/>
        <v>12158.453982837651</v>
      </c>
      <c r="Y264" s="98">
        <f t="shared" si="54"/>
        <v>1498.7015058563447</v>
      </c>
      <c r="Z264" s="97">
        <f t="shared" si="55"/>
        <v>11657.808248386498</v>
      </c>
      <c r="AA264" s="98">
        <f t="shared" si="56"/>
        <v>1493.5123281233593</v>
      </c>
      <c r="AB264" s="98">
        <f t="shared" si="57"/>
        <v>11622.04969109917</v>
      </c>
      <c r="AC264" s="91"/>
      <c r="AD264" s="92">
        <f t="shared" si="58"/>
        <v>1493.48702053876</v>
      </c>
    </row>
    <row r="265" spans="1:30" ht="11.25">
      <c r="A265" s="15"/>
      <c r="B265" s="93">
        <f>IF(C265&gt;$K$1,0,'Ranges and Data'!$A$10)</f>
        <v>535.2234266961229</v>
      </c>
      <c r="C265" s="94">
        <f t="shared" si="59"/>
        <v>38863.66666666625</v>
      </c>
      <c r="D265" s="85">
        <f aca="true" t="shared" si="66" ref="D265:D328">IF(B265&lt;&gt;0,$K$1-C265,0)/365</f>
        <v>8.66666666666781</v>
      </c>
      <c r="E265" s="15"/>
      <c r="F265" s="21"/>
      <c r="G265" s="21"/>
      <c r="H265" s="21"/>
      <c r="I265" s="21"/>
      <c r="J265" s="21"/>
      <c r="K265" s="21"/>
      <c r="L265" s="21"/>
      <c r="M265" s="15"/>
      <c r="N265" s="42"/>
      <c r="O265" s="86">
        <f t="shared" si="65"/>
        <v>1.3170688704897981</v>
      </c>
      <c r="P265" s="86">
        <f t="shared" si="65"/>
        <v>24.324922261518363</v>
      </c>
      <c r="Q265" s="86">
        <f t="shared" si="65"/>
        <v>214.7683081772472</v>
      </c>
      <c r="R265" s="86">
        <f t="shared" si="65"/>
        <v>1222.564325565286</v>
      </c>
      <c r="S265" s="86">
        <f t="shared" si="65"/>
        <v>5200.488825707203</v>
      </c>
      <c r="T265" s="86">
        <f t="shared" si="65"/>
        <v>17974.605166536956</v>
      </c>
      <c r="U265" s="87">
        <f t="shared" si="65"/>
        <v>53181.31839031698</v>
      </c>
      <c r="V265" s="15"/>
      <c r="W265" s="96">
        <f aca="true" t="shared" si="67" ref="W265:W328">$B265*I$3^$D265</f>
        <v>1555.5274888316549</v>
      </c>
      <c r="X265" s="97">
        <f aca="true" t="shared" si="68" ref="X265:X328">W265*$D265/I$3</f>
        <v>11919.75087227479</v>
      </c>
      <c r="Y265" s="98">
        <f aca="true" t="shared" si="69" ref="Y265:Y328">$B265*I$4^$D265</f>
        <v>1484.0764933887906</v>
      </c>
      <c r="Z265" s="97">
        <f aca="true" t="shared" si="70" ref="Z265:Z328">Y265*$D265/I$4</f>
        <v>11434.102745730102</v>
      </c>
      <c r="AA265" s="98">
        <f aca="true" t="shared" si="71" ref="AA265:AA328">$B265*I$5^$D265</f>
        <v>1478.9868084732416</v>
      </c>
      <c r="AB265" s="98">
        <f aca="true" t="shared" si="72" ref="AB265:AB328">AA265*$D265/I$5</f>
        <v>11399.406920668285</v>
      </c>
      <c r="AC265" s="91"/>
      <c r="AD265" s="92">
        <f aca="true" t="shared" si="73" ref="AD265:AD328">$B265*(1+$D$7)^$D265</f>
        <v>1478.9619857022183</v>
      </c>
    </row>
    <row r="266" spans="1:30" ht="11.25">
      <c r="A266" s="15"/>
      <c r="B266" s="93">
        <f>IF(C266&gt;$K$1,0,'Ranges and Data'!$A$10)</f>
        <v>535.2234266961229</v>
      </c>
      <c r="C266" s="94">
        <f aca="true" t="shared" si="74" ref="C266:C329">C265+(365/12)</f>
        <v>38894.083333332914</v>
      </c>
      <c r="D266" s="85">
        <f t="shared" si="66"/>
        <v>8.583333333334483</v>
      </c>
      <c r="E266" s="15"/>
      <c r="F266" s="21"/>
      <c r="G266" s="21"/>
      <c r="H266" s="21"/>
      <c r="I266" s="21"/>
      <c r="J266" s="21"/>
      <c r="K266" s="21"/>
      <c r="L266" s="21"/>
      <c r="M266" s="15"/>
      <c r="N266" s="42"/>
      <c r="O266" s="86">
        <f t="shared" si="65"/>
        <v>1.395385861013417</v>
      </c>
      <c r="P266" s="86">
        <f t="shared" si="65"/>
        <v>25.058781982471015</v>
      </c>
      <c r="Q266" s="86">
        <f t="shared" si="65"/>
        <v>216.66228558639875</v>
      </c>
      <c r="R266" s="86">
        <f t="shared" si="65"/>
        <v>1212.8925500460484</v>
      </c>
      <c r="S266" s="86">
        <f t="shared" si="65"/>
        <v>5088.02091869073</v>
      </c>
      <c r="T266" s="86">
        <f t="shared" si="65"/>
        <v>17377.41159504419</v>
      </c>
      <c r="U266" s="87">
        <f t="shared" si="65"/>
        <v>50880.92788904504</v>
      </c>
      <c r="V266" s="15"/>
      <c r="W266" s="96">
        <f t="shared" si="67"/>
        <v>1539.6516550116166</v>
      </c>
      <c r="X266" s="97">
        <f t="shared" si="68"/>
        <v>11684.653733143072</v>
      </c>
      <c r="Y266" s="98">
        <f t="shared" si="69"/>
        <v>1469.5941984596118</v>
      </c>
      <c r="Z266" s="97">
        <f t="shared" si="70"/>
        <v>11213.653140139051</v>
      </c>
      <c r="AA266" s="98">
        <f t="shared" si="71"/>
        <v>1464.60256031927</v>
      </c>
      <c r="AB266" s="98">
        <f t="shared" si="72"/>
        <v>11179.995552774019</v>
      </c>
      <c r="AC266" s="91"/>
      <c r="AD266" s="92">
        <f t="shared" si="73"/>
        <v>1464.578215325361</v>
      </c>
    </row>
    <row r="267" spans="1:30" ht="11.25">
      <c r="A267" s="15"/>
      <c r="B267" s="93">
        <f>IF(C267&gt;$K$1,0,'Ranges and Data'!$A$10)</f>
        <v>535.2234266961229</v>
      </c>
      <c r="C267" s="94">
        <f t="shared" si="74"/>
        <v>38924.49999999958</v>
      </c>
      <c r="D267" s="85">
        <f t="shared" si="66"/>
        <v>8.500000000001156</v>
      </c>
      <c r="E267" s="15"/>
      <c r="F267" s="21"/>
      <c r="G267" s="21"/>
      <c r="H267" s="21"/>
      <c r="I267" s="21"/>
      <c r="J267" s="21"/>
      <c r="K267" s="21"/>
      <c r="L267" s="21"/>
      <c r="M267" s="15"/>
      <c r="N267" s="42"/>
      <c r="O267" s="86">
        <f t="shared" si="65"/>
        <v>1.4783598221344783</v>
      </c>
      <c r="P267" s="86">
        <f t="shared" si="65"/>
        <v>25.814781551775354</v>
      </c>
      <c r="Q267" s="86">
        <f t="shared" si="65"/>
        <v>218.57296541527333</v>
      </c>
      <c r="R267" s="86">
        <f t="shared" si="65"/>
        <v>1203.2972884899118</v>
      </c>
      <c r="S267" s="86">
        <f t="shared" si="65"/>
        <v>4977.985288818308</v>
      </c>
      <c r="T267" s="86">
        <f t="shared" si="65"/>
        <v>16800.0593585086</v>
      </c>
      <c r="U267" s="87">
        <f t="shared" si="65"/>
        <v>48680.04218792691</v>
      </c>
      <c r="V267" s="15"/>
      <c r="W267" s="96">
        <f t="shared" si="67"/>
        <v>1523.937851179021</v>
      </c>
      <c r="X267" s="97">
        <f t="shared" si="68"/>
        <v>11453.113824070238</v>
      </c>
      <c r="Y267" s="98">
        <f t="shared" si="69"/>
        <v>1455.2532283660128</v>
      </c>
      <c r="Z267" s="97">
        <f t="shared" si="70"/>
        <v>10996.417189464772</v>
      </c>
      <c r="AA267" s="98">
        <f t="shared" si="71"/>
        <v>1450.3582096909347</v>
      </c>
      <c r="AB267" s="98">
        <f t="shared" si="72"/>
        <v>10963.773791628251</v>
      </c>
      <c r="AC267" s="91"/>
      <c r="AD267" s="92">
        <f t="shared" si="73"/>
        <v>1450.334335528691</v>
      </c>
    </row>
    <row r="268" spans="1:30" ht="11.25">
      <c r="A268" s="15"/>
      <c r="B268" s="93">
        <f>IF(C268&gt;$K$1,0,'Ranges and Data'!$A$10)</f>
        <v>535.2234266961229</v>
      </c>
      <c r="C268" s="94">
        <f t="shared" si="74"/>
        <v>38954.91666666624</v>
      </c>
      <c r="D268" s="85">
        <f t="shared" si="66"/>
        <v>8.41666666666783</v>
      </c>
      <c r="E268" s="15"/>
      <c r="F268" s="21"/>
      <c r="G268" s="21"/>
      <c r="H268" s="21"/>
      <c r="I268" s="21"/>
      <c r="J268" s="21"/>
      <c r="K268" s="21"/>
      <c r="L268" s="21"/>
      <c r="M268" s="15"/>
      <c r="N268" s="42"/>
      <c r="O268" s="86">
        <f t="shared" si="65"/>
        <v>1.5662676717350434</v>
      </c>
      <c r="P268" s="86">
        <f t="shared" si="65"/>
        <v>26.593588907555034</v>
      </c>
      <c r="Q268" s="86">
        <f t="shared" si="65"/>
        <v>220.50049495750977</v>
      </c>
      <c r="R268" s="86">
        <f t="shared" si="65"/>
        <v>1193.7779355905861</v>
      </c>
      <c r="S268" s="86">
        <f t="shared" si="65"/>
        <v>4870.329334665565</v>
      </c>
      <c r="T268" s="86">
        <f t="shared" si="65"/>
        <v>16241.889242578796</v>
      </c>
      <c r="U268" s="87">
        <f t="shared" si="65"/>
        <v>46574.35714588381</v>
      </c>
      <c r="V268" s="15"/>
      <c r="W268" s="96">
        <f t="shared" si="67"/>
        <v>1508.3844236432878</v>
      </c>
      <c r="X268" s="97">
        <f t="shared" si="68"/>
        <v>11225.083022988</v>
      </c>
      <c r="Y268" s="98">
        <f t="shared" si="69"/>
        <v>1441.0522039958255</v>
      </c>
      <c r="Z268" s="97">
        <f t="shared" si="70"/>
        <v>10782.353165944152</v>
      </c>
      <c r="AA268" s="98">
        <f t="shared" si="71"/>
        <v>1436.2523959806142</v>
      </c>
      <c r="AB268" s="98">
        <f t="shared" si="72"/>
        <v>10750.700348774495</v>
      </c>
      <c r="AC268" s="91"/>
      <c r="AD268" s="92">
        <f t="shared" si="73"/>
        <v>1436.2289857944916</v>
      </c>
    </row>
    <row r="269" spans="1:30" ht="11.25">
      <c r="A269" s="15"/>
      <c r="B269" s="93">
        <f>IF(C269&gt;$K$1,0,'Ranges and Data'!$A$10)</f>
        <v>535.2234266961229</v>
      </c>
      <c r="C269" s="94">
        <f t="shared" si="74"/>
        <v>38985.33333333291</v>
      </c>
      <c r="D269" s="85">
        <f t="shared" si="66"/>
        <v>8.333333333334503</v>
      </c>
      <c r="E269" s="15"/>
      <c r="F269" s="21"/>
      <c r="G269" s="21"/>
      <c r="H269" s="21"/>
      <c r="I269" s="21"/>
      <c r="J269" s="21"/>
      <c r="K269" s="21"/>
      <c r="L269" s="21"/>
      <c r="M269" s="15"/>
      <c r="N269" s="42"/>
      <c r="O269" s="86">
        <f aca="true" t="shared" si="75" ref="O269:U278">$B269*O$7^$D269</f>
        <v>1.6594027940913312</v>
      </c>
      <c r="P269" s="86">
        <f t="shared" si="75"/>
        <v>27.3958921389903</v>
      </c>
      <c r="Q269" s="86">
        <f t="shared" si="75"/>
        <v>222.44502280568557</v>
      </c>
      <c r="R269" s="86">
        <f t="shared" si="75"/>
        <v>1184.3338908303956</v>
      </c>
      <c r="S269" s="86">
        <f t="shared" si="75"/>
        <v>4765.001592388129</v>
      </c>
      <c r="T269" s="86">
        <f t="shared" si="75"/>
        <v>15702.263934835004</v>
      </c>
      <c r="U269" s="87">
        <f t="shared" si="75"/>
        <v>44559.75480009568</v>
      </c>
      <c r="V269" s="15"/>
      <c r="W269" s="96">
        <f t="shared" si="67"/>
        <v>1492.9897355915318</v>
      </c>
      <c r="X269" s="97">
        <f t="shared" si="68"/>
        <v>11000.513819567796</v>
      </c>
      <c r="Y269" s="98">
        <f t="shared" si="69"/>
        <v>1426.989759694888</v>
      </c>
      <c r="Z269" s="97">
        <f t="shared" si="70"/>
        <v>10571.419850182967</v>
      </c>
      <c r="AA269" s="98">
        <f t="shared" si="71"/>
        <v>1422.2837718136086</v>
      </c>
      <c r="AB269" s="98">
        <f t="shared" si="72"/>
        <v>10540.734437172969</v>
      </c>
      <c r="AC269" s="91"/>
      <c r="AD269" s="92">
        <f t="shared" si="73"/>
        <v>1422.2608188368768</v>
      </c>
    </row>
    <row r="270" spans="1:30" ht="11.25">
      <c r="A270" s="15"/>
      <c r="B270" s="93">
        <f>IF(C270&gt;$K$1,0,'Ranges and Data'!$A$10)</f>
        <v>535.2234266961229</v>
      </c>
      <c r="C270" s="94">
        <f t="shared" si="74"/>
        <v>39015.74999999957</v>
      </c>
      <c r="D270" s="85">
        <f t="shared" si="66"/>
        <v>8.250000000001176</v>
      </c>
      <c r="E270" s="15"/>
      <c r="F270" s="21"/>
      <c r="G270" s="21"/>
      <c r="H270" s="21"/>
      <c r="I270" s="21"/>
      <c r="J270" s="21"/>
      <c r="K270" s="21"/>
      <c r="L270" s="21"/>
      <c r="M270" s="15"/>
      <c r="N270" s="42"/>
      <c r="O270" s="86">
        <f t="shared" si="75"/>
        <v>1.7580760190164544</v>
      </c>
      <c r="P270" s="86">
        <f t="shared" si="75"/>
        <v>28.222400094256148</v>
      </c>
      <c r="Q270" s="86">
        <f t="shared" si="75"/>
        <v>224.40669886277152</v>
      </c>
      <c r="R270" s="86">
        <f t="shared" si="75"/>
        <v>1174.9645584423915</v>
      </c>
      <c r="S270" s="86">
        <f t="shared" si="75"/>
        <v>4661.951711119866</v>
      </c>
      <c r="T270" s="86">
        <f t="shared" si="75"/>
        <v>15180.567297112812</v>
      </c>
      <c r="U270" s="87">
        <f t="shared" si="75"/>
        <v>42632.295312746675</v>
      </c>
      <c r="V270" s="15"/>
      <c r="W270" s="96">
        <f t="shared" si="67"/>
        <v>1477.7521669163057</v>
      </c>
      <c r="X270" s="97">
        <f t="shared" si="68"/>
        <v>10779.359307746472</v>
      </c>
      <c r="Y270" s="98">
        <f t="shared" si="69"/>
        <v>1413.0645431357138</v>
      </c>
      <c r="Z270" s="97">
        <f t="shared" si="70"/>
        <v>10363.576525207684</v>
      </c>
      <c r="AA270" s="98">
        <f t="shared" si="71"/>
        <v>1408.45100291944</v>
      </c>
      <c r="AB270" s="98">
        <f t="shared" si="72"/>
        <v>10333.835765352795</v>
      </c>
      <c r="AC270" s="91"/>
      <c r="AD270" s="92">
        <f t="shared" si="73"/>
        <v>1408.4285004731044</v>
      </c>
    </row>
    <row r="271" spans="1:30" ht="11.25">
      <c r="A271" s="15"/>
      <c r="B271" s="93">
        <f>IF(C271&gt;$K$1,0,'Ranges and Data'!$A$10)</f>
        <v>535.2234266961229</v>
      </c>
      <c r="C271" s="94">
        <f t="shared" si="74"/>
        <v>39046.166666666235</v>
      </c>
      <c r="D271" s="85">
        <f t="shared" si="66"/>
        <v>8.16666666666785</v>
      </c>
      <c r="E271" s="15"/>
      <c r="F271" s="21"/>
      <c r="G271" s="21"/>
      <c r="H271" s="21"/>
      <c r="I271" s="21"/>
      <c r="J271" s="21"/>
      <c r="K271" s="21"/>
      <c r="L271" s="21"/>
      <c r="M271" s="15"/>
      <c r="N271" s="42"/>
      <c r="O271" s="86">
        <f t="shared" si="75"/>
        <v>1.8626166592260363</v>
      </c>
      <c r="P271" s="86">
        <f t="shared" si="75"/>
        <v>29.07384300680143</v>
      </c>
      <c r="Q271" s="86">
        <f t="shared" si="75"/>
        <v>226.38567435368796</v>
      </c>
      <c r="R271" s="86">
        <f t="shared" si="75"/>
        <v>1165.6693473727732</v>
      </c>
      <c r="S271" s="86">
        <f t="shared" si="75"/>
        <v>4561.130428903147</v>
      </c>
      <c r="T271" s="86">
        <f t="shared" si="75"/>
        <v>14676.2036620035</v>
      </c>
      <c r="U271" s="87">
        <f t="shared" si="75"/>
        <v>40788.20926611875</v>
      </c>
      <c r="V271" s="15"/>
      <c r="W271" s="96">
        <f t="shared" si="67"/>
        <v>1462.6701140451057</v>
      </c>
      <c r="X271" s="97">
        <f t="shared" si="68"/>
        <v>10561.573178340783</v>
      </c>
      <c r="Y271" s="98">
        <f t="shared" si="69"/>
        <v>1399.275215187444</v>
      </c>
      <c r="Z271" s="97">
        <f t="shared" si="70"/>
        <v>10158.782970585005</v>
      </c>
      <c r="AA271" s="98">
        <f t="shared" si="71"/>
        <v>1394.7527680044054</v>
      </c>
      <c r="AB271" s="98">
        <f t="shared" si="72"/>
        <v>10129.964531630494</v>
      </c>
      <c r="AC271" s="91"/>
      <c r="AD271" s="92">
        <f t="shared" si="73"/>
        <v>1394.7307094961395</v>
      </c>
    </row>
    <row r="272" spans="1:30" ht="11.25">
      <c r="A272" s="15"/>
      <c r="B272" s="93">
        <f>IF(C272&gt;$K$1,0,'Ranges and Data'!$A$10)</f>
        <v>535.2234266961229</v>
      </c>
      <c r="C272" s="94">
        <f t="shared" si="74"/>
        <v>39076.5833333329</v>
      </c>
      <c r="D272" s="85">
        <f t="shared" si="66"/>
        <v>8.083333333334522</v>
      </c>
      <c r="E272" s="15"/>
      <c r="F272" s="21"/>
      <c r="G272" s="21"/>
      <c r="H272" s="21"/>
      <c r="I272" s="21"/>
      <c r="J272" s="21"/>
      <c r="K272" s="21"/>
      <c r="L272" s="21"/>
      <c r="M272" s="15"/>
      <c r="N272" s="42"/>
      <c r="O272" s="86">
        <f t="shared" si="75"/>
        <v>1.973373609388779</v>
      </c>
      <c r="P272" s="86">
        <f t="shared" si="75"/>
        <v>29.95097314052218</v>
      </c>
      <c r="Q272" s="86">
        <f t="shared" si="75"/>
        <v>228.38210183696245</v>
      </c>
      <c r="R272" s="86">
        <f t="shared" si="75"/>
        <v>1156.447671243599</v>
      </c>
      <c r="S272" s="86">
        <f t="shared" si="75"/>
        <v>4462.489549139668</v>
      </c>
      <c r="T272" s="86">
        <f t="shared" si="75"/>
        <v>14188.597152727623</v>
      </c>
      <c r="U272" s="87">
        <f t="shared" si="75"/>
        <v>39023.89029096612</v>
      </c>
      <c r="V272" s="15"/>
      <c r="W272" s="96">
        <f t="shared" si="67"/>
        <v>1447.7419897716109</v>
      </c>
      <c r="X272" s="97">
        <f t="shared" si="68"/>
        <v>10347.1097117497</v>
      </c>
      <c r="Y272" s="98">
        <f t="shared" si="69"/>
        <v>1385.6204497870694</v>
      </c>
      <c r="Z272" s="97">
        <f t="shared" si="70"/>
        <v>9956.999456608304</v>
      </c>
      <c r="AA272" s="98">
        <f t="shared" si="71"/>
        <v>1381.1877586253663</v>
      </c>
      <c r="AB272" s="98">
        <f t="shared" si="72"/>
        <v>9929.081418394058</v>
      </c>
      <c r="AC272" s="91"/>
      <c r="AD272" s="92">
        <f t="shared" si="73"/>
        <v>1381.1661375484582</v>
      </c>
    </row>
    <row r="273" spans="1:30" ht="11.25">
      <c r="A273" s="15"/>
      <c r="B273" s="93">
        <f>IF(C273&gt;$K$1,0,'Ranges and Data'!$A$10)</f>
        <v>535.2234266961229</v>
      </c>
      <c r="C273" s="94">
        <f t="shared" si="74"/>
        <v>39106.99999999956</v>
      </c>
      <c r="D273" s="85">
        <f t="shared" si="66"/>
        <v>8.000000000001195</v>
      </c>
      <c r="E273" s="15"/>
      <c r="F273" s="21"/>
      <c r="G273" s="21"/>
      <c r="H273" s="21"/>
      <c r="I273" s="21"/>
      <c r="J273" s="21"/>
      <c r="K273" s="21"/>
      <c r="L273" s="21"/>
      <c r="M273" s="15"/>
      <c r="N273" s="42"/>
      <c r="O273" s="86">
        <f t="shared" si="75"/>
        <v>2.0907165105299983</v>
      </c>
      <c r="P273" s="86">
        <f t="shared" si="75"/>
        <v>30.854565454399193</v>
      </c>
      <c r="Q273" s="86">
        <f t="shared" si="75"/>
        <v>230.39613521649056</v>
      </c>
      <c r="R273" s="86">
        <f t="shared" si="75"/>
        <v>1147.2989483157958</v>
      </c>
      <c r="S273" s="86">
        <f t="shared" si="75"/>
        <v>4365.98191755056</v>
      </c>
      <c r="T273" s="86">
        <f t="shared" si="75"/>
        <v>13717.191025605336</v>
      </c>
      <c r="U273" s="87">
        <f t="shared" si="75"/>
        <v>37335.88801375365</v>
      </c>
      <c r="V273" s="15"/>
      <c r="W273" s="96">
        <f t="shared" si="67"/>
        <v>1432.966223088652</v>
      </c>
      <c r="X273" s="97">
        <f t="shared" si="68"/>
        <v>10135.923770743528</v>
      </c>
      <c r="Y273" s="98">
        <f t="shared" si="69"/>
        <v>1372.0989338119084</v>
      </c>
      <c r="Z273" s="97">
        <f t="shared" si="70"/>
        <v>9758.186738550243</v>
      </c>
      <c r="AA273" s="98">
        <f t="shared" si="71"/>
        <v>1367.7546790647684</v>
      </c>
      <c r="AB273" s="98">
        <f t="shared" si="72"/>
        <v>9731.147586451894</v>
      </c>
      <c r="AC273" s="91"/>
      <c r="AD273" s="92">
        <f t="shared" si="73"/>
        <v>1367.7334889970791</v>
      </c>
    </row>
    <row r="274" spans="1:30" ht="11.25">
      <c r="A274" s="15"/>
      <c r="B274" s="93">
        <f>IF(C274&gt;$K$1,0,'Ranges and Data'!$A$10)</f>
        <v>535.2234266961229</v>
      </c>
      <c r="C274" s="94">
        <f t="shared" si="74"/>
        <v>39137.41666666623</v>
      </c>
      <c r="D274" s="85">
        <f t="shared" si="66"/>
        <v>7.91666666666787</v>
      </c>
      <c r="E274" s="15"/>
      <c r="F274" s="21"/>
      <c r="G274" s="21"/>
      <c r="H274" s="21"/>
      <c r="I274" s="21"/>
      <c r="J274" s="21"/>
      <c r="K274" s="21"/>
      <c r="L274" s="21"/>
      <c r="M274" s="15"/>
      <c r="N274" s="42"/>
      <c r="O274" s="86">
        <f t="shared" si="75"/>
        <v>2.2150369836741683</v>
      </c>
      <c r="P274" s="86">
        <f t="shared" si="75"/>
        <v>31.78541828718711</v>
      </c>
      <c r="Q274" s="86">
        <f t="shared" si="75"/>
        <v>232.4279297534002</v>
      </c>
      <c r="R274" s="86">
        <f t="shared" si="75"/>
        <v>1138.2226014524626</v>
      </c>
      <c r="S274" s="86">
        <f t="shared" si="75"/>
        <v>4271.5613996347465</v>
      </c>
      <c r="T274" s="86">
        <f t="shared" si="75"/>
        <v>13261.447034372612</v>
      </c>
      <c r="U274" s="87">
        <f t="shared" si="75"/>
        <v>35720.90130896696</v>
      </c>
      <c r="V274" s="15"/>
      <c r="W274" s="96">
        <f t="shared" si="67"/>
        <v>1418.3412590228806</v>
      </c>
      <c r="X274" s="97">
        <f t="shared" si="68"/>
        <v>9927.970793338796</v>
      </c>
      <c r="Y274" s="98">
        <f t="shared" si="69"/>
        <v>1358.709366953329</v>
      </c>
      <c r="Z274" s="97">
        <f t="shared" si="70"/>
        <v>9562.306050980833</v>
      </c>
      <c r="AA274" s="98">
        <f t="shared" si="71"/>
        <v>1354.4522462068762</v>
      </c>
      <c r="AB274" s="98">
        <f t="shared" si="72"/>
        <v>9536.124669445891</v>
      </c>
      <c r="AC274" s="91"/>
      <c r="AD274" s="92">
        <f t="shared" si="73"/>
        <v>1354.43148080981</v>
      </c>
    </row>
    <row r="275" spans="1:30" ht="11.25">
      <c r="A275" s="15"/>
      <c r="B275" s="93">
        <f>IF(C275&gt;$K$1,0,'Ranges and Data'!$A$10)</f>
        <v>535.2234266961229</v>
      </c>
      <c r="C275" s="94">
        <f t="shared" si="74"/>
        <v>39167.83333333289</v>
      </c>
      <c r="D275" s="85">
        <f t="shared" si="66"/>
        <v>7.833333333334543</v>
      </c>
      <c r="E275" s="15"/>
      <c r="F275" s="21"/>
      <c r="G275" s="21"/>
      <c r="H275" s="21"/>
      <c r="I275" s="21"/>
      <c r="J275" s="21"/>
      <c r="K275" s="21"/>
      <c r="L275" s="21"/>
      <c r="M275" s="15"/>
      <c r="N275" s="42"/>
      <c r="O275" s="86">
        <f t="shared" si="75"/>
        <v>2.3467499368437044</v>
      </c>
      <c r="P275" s="86">
        <f t="shared" si="75"/>
        <v>32.74435406275995</v>
      </c>
      <c r="Q275" s="86">
        <f t="shared" si="75"/>
        <v>234.47764207802072</v>
      </c>
      <c r="R275" s="86">
        <f t="shared" si="75"/>
        <v>1129.2180580824597</v>
      </c>
      <c r="S275" s="86">
        <f t="shared" si="75"/>
        <v>4179.182858614817</v>
      </c>
      <c r="T275" s="86">
        <f t="shared" si="75"/>
        <v>12820.844815617731</v>
      </c>
      <c r="U275" s="87">
        <f t="shared" si="75"/>
        <v>34175.771843297676</v>
      </c>
      <c r="V275" s="15"/>
      <c r="W275" s="96">
        <f t="shared" si="67"/>
        <v>1403.8655584711253</v>
      </c>
      <c r="X275" s="97">
        <f t="shared" si="68"/>
        <v>9723.206785757895</v>
      </c>
      <c r="Y275" s="98">
        <f t="shared" si="69"/>
        <v>1345.4504615917028</v>
      </c>
      <c r="Z275" s="97">
        <f t="shared" si="70"/>
        <v>9369.319102150206</v>
      </c>
      <c r="AA275" s="98">
        <f t="shared" si="71"/>
        <v>1341.2791894152092</v>
      </c>
      <c r="AB275" s="98">
        <f t="shared" si="72"/>
        <v>9343.974768327895</v>
      </c>
      <c r="AC275" s="91"/>
      <c r="AD275" s="92">
        <f t="shared" si="73"/>
        <v>1341.258842432695</v>
      </c>
    </row>
    <row r="276" spans="1:30" ht="11.25">
      <c r="A276" s="15"/>
      <c r="B276" s="93">
        <f>IF(C276&gt;$K$1,0,'Ranges and Data'!$A$10)</f>
        <v>535.2234266961229</v>
      </c>
      <c r="C276" s="94">
        <f t="shared" si="74"/>
        <v>39198.249999999556</v>
      </c>
      <c r="D276" s="85">
        <f t="shared" si="66"/>
        <v>7.750000000001216</v>
      </c>
      <c r="E276" s="15"/>
      <c r="F276" s="21"/>
      <c r="G276" s="21"/>
      <c r="H276" s="21"/>
      <c r="I276" s="21"/>
      <c r="J276" s="21"/>
      <c r="K276" s="21"/>
      <c r="L276" s="21"/>
      <c r="M276" s="15"/>
      <c r="N276" s="42"/>
      <c r="O276" s="86">
        <f t="shared" si="75"/>
        <v>2.4862949497759006</v>
      </c>
      <c r="P276" s="86">
        <f t="shared" si="75"/>
        <v>33.73222001673616</v>
      </c>
      <c r="Q276" s="86">
        <f t="shared" si="75"/>
        <v>236.54543020195743</v>
      </c>
      <c r="R276" s="86">
        <f t="shared" si="75"/>
        <v>1120.2847501642912</v>
      </c>
      <c r="S276" s="86">
        <f t="shared" si="75"/>
        <v>4088.802133859846</v>
      </c>
      <c r="T276" s="86">
        <f t="shared" si="75"/>
        <v>12394.881294636063</v>
      </c>
      <c r="U276" s="87">
        <f t="shared" si="75"/>
        <v>32697.477899079255</v>
      </c>
      <c r="V276" s="15"/>
      <c r="W276" s="96">
        <f t="shared" si="67"/>
        <v>1389.537598038422</v>
      </c>
      <c r="X276" s="97">
        <f t="shared" si="68"/>
        <v>9521.588315472556</v>
      </c>
      <c r="Y276" s="98">
        <f t="shared" si="69"/>
        <v>1332.3209426725823</v>
      </c>
      <c r="Z276" s="97">
        <f t="shared" si="70"/>
        <v>9179.188068435386</v>
      </c>
      <c r="AA276" s="98">
        <f t="shared" si="71"/>
        <v>1328.2342504111734</v>
      </c>
      <c r="AB276" s="98">
        <f t="shared" si="72"/>
        <v>9154.660445898928</v>
      </c>
      <c r="AC276" s="91"/>
      <c r="AD276" s="92">
        <f t="shared" si="73"/>
        <v>1328.2143156686616</v>
      </c>
    </row>
    <row r="277" spans="1:30" ht="11.25">
      <c r="A277" s="15"/>
      <c r="B277" s="93">
        <f>IF(C277&gt;$K$1,0,'Ranges and Data'!$A$10)</f>
        <v>535.2234266961229</v>
      </c>
      <c r="C277" s="94">
        <f t="shared" si="74"/>
        <v>39228.66666666622</v>
      </c>
      <c r="D277" s="85">
        <f t="shared" si="66"/>
        <v>7.666666666667889</v>
      </c>
      <c r="E277" s="15"/>
      <c r="F277" s="21"/>
      <c r="G277" s="21"/>
      <c r="H277" s="21"/>
      <c r="I277" s="21"/>
      <c r="J277" s="21"/>
      <c r="K277" s="21"/>
      <c r="L277" s="21"/>
      <c r="M277" s="15"/>
      <c r="N277" s="42"/>
      <c r="O277" s="86">
        <f t="shared" si="75"/>
        <v>2.634137740979451</v>
      </c>
      <c r="P277" s="86">
        <f t="shared" si="75"/>
        <v>34.74988894502526</v>
      </c>
      <c r="Q277" s="86">
        <f t="shared" si="75"/>
        <v>238.6314535302727</v>
      </c>
      <c r="R277" s="86">
        <f t="shared" si="75"/>
        <v>1111.4221141502685</v>
      </c>
      <c r="S277" s="86">
        <f t="shared" si="75"/>
        <v>4000.3760197748547</v>
      </c>
      <c r="T277" s="86">
        <f t="shared" si="75"/>
        <v>11983.070111025025</v>
      </c>
      <c r="U277" s="87">
        <f t="shared" si="75"/>
        <v>31283.12846489365</v>
      </c>
      <c r="V277" s="15"/>
      <c r="W277" s="96">
        <f t="shared" si="67"/>
        <v>1375.3558698776922</v>
      </c>
      <c r="X277" s="97">
        <f t="shared" si="68"/>
        <v>9323.07250433008</v>
      </c>
      <c r="Y277" s="98">
        <f t="shared" si="69"/>
        <v>1319.3195475840807</v>
      </c>
      <c r="Z277" s="97">
        <f t="shared" si="70"/>
        <v>8991.875588850304</v>
      </c>
      <c r="AA277" s="98">
        <f t="shared" si="71"/>
        <v>1315.3161831538716</v>
      </c>
      <c r="AB277" s="98">
        <f t="shared" si="72"/>
        <v>8968.144721410403</v>
      </c>
      <c r="AC277" s="91"/>
      <c r="AD277" s="92">
        <f t="shared" si="73"/>
        <v>1315.2966545573377</v>
      </c>
    </row>
    <row r="278" spans="1:30" ht="11.25">
      <c r="A278" s="15"/>
      <c r="B278" s="93">
        <f>IF(C278&gt;$K$1,0,'Ranges and Data'!$A$10)</f>
        <v>535.2234266961229</v>
      </c>
      <c r="C278" s="94">
        <f t="shared" si="74"/>
        <v>39259.083333332885</v>
      </c>
      <c r="D278" s="85">
        <f t="shared" si="66"/>
        <v>7.583333333334562</v>
      </c>
      <c r="E278" s="15"/>
      <c r="F278" s="21"/>
      <c r="G278" s="21"/>
      <c r="H278" s="21"/>
      <c r="I278" s="21"/>
      <c r="J278" s="21"/>
      <c r="K278" s="21"/>
      <c r="L278" s="21"/>
      <c r="M278" s="15"/>
      <c r="N278" s="42"/>
      <c r="O278" s="86">
        <f t="shared" si="75"/>
        <v>2.790771722026681</v>
      </c>
      <c r="P278" s="86">
        <f t="shared" si="75"/>
        <v>35.798259974957595</v>
      </c>
      <c r="Q278" s="86">
        <f t="shared" si="75"/>
        <v>240.7358728737744</v>
      </c>
      <c r="R278" s="86">
        <f t="shared" si="75"/>
        <v>1102.6295909509615</v>
      </c>
      <c r="S278" s="86">
        <f t="shared" si="75"/>
        <v>3913.862245146797</v>
      </c>
      <c r="T278" s="86">
        <f t="shared" si="75"/>
        <v>11584.941063363161</v>
      </c>
      <c r="U278" s="87">
        <f t="shared" si="75"/>
        <v>29929.957581792452</v>
      </c>
      <c r="V278" s="15"/>
      <c r="W278" s="96">
        <f t="shared" si="67"/>
        <v>1361.3188815310625</v>
      </c>
      <c r="X278" s="97">
        <f t="shared" si="68"/>
        <v>9127.617021761476</v>
      </c>
      <c r="Y278" s="98">
        <f t="shared" si="69"/>
        <v>1306.445026035455</v>
      </c>
      <c r="Z278" s="97">
        <f t="shared" si="70"/>
        <v>8807.34475961842</v>
      </c>
      <c r="AA278" s="98">
        <f t="shared" si="71"/>
        <v>1302.5237537210821</v>
      </c>
      <c r="AB278" s="98">
        <f t="shared" si="72"/>
        <v>8784.391065226677</v>
      </c>
      <c r="AC278" s="91"/>
      <c r="AD278" s="92">
        <f t="shared" si="73"/>
        <v>1302.5046252560448</v>
      </c>
    </row>
    <row r="279" spans="1:30" ht="11.25">
      <c r="A279" s="15"/>
      <c r="B279" s="93">
        <f>IF(C279&gt;$K$1,0,'Ranges and Data'!$A$10)</f>
        <v>535.2234266961229</v>
      </c>
      <c r="C279" s="94">
        <f t="shared" si="74"/>
        <v>39289.49999999955</v>
      </c>
      <c r="D279" s="85">
        <f t="shared" si="66"/>
        <v>7.500000000001236</v>
      </c>
      <c r="E279" s="15"/>
      <c r="F279" s="21"/>
      <c r="G279" s="21"/>
      <c r="H279" s="21"/>
      <c r="I279" s="21"/>
      <c r="J279" s="21"/>
      <c r="K279" s="21"/>
      <c r="L279" s="21"/>
      <c r="M279" s="15"/>
      <c r="N279" s="42"/>
      <c r="O279" s="86">
        <f aca="true" t="shared" si="76" ref="O279:U288">$B279*O$7^$D279</f>
        <v>2.9567196442687913</v>
      </c>
      <c r="P279" s="86">
        <f t="shared" si="76"/>
        <v>36.878259359678026</v>
      </c>
      <c r="Q279" s="86">
        <f t="shared" si="76"/>
        <v>242.85885046141274</v>
      </c>
      <c r="R279" s="86">
        <f t="shared" si="76"/>
        <v>1093.9066258999278</v>
      </c>
      <c r="S279" s="86">
        <f t="shared" si="76"/>
        <v>3829.21945293724</v>
      </c>
      <c r="T279" s="86">
        <f t="shared" si="76"/>
        <v>11200.039572339427</v>
      </c>
      <c r="U279" s="87">
        <f t="shared" si="76"/>
        <v>28635.31893407586</v>
      </c>
      <c r="V279" s="15"/>
      <c r="W279" s="96">
        <f t="shared" si="67"/>
        <v>1347.4251557727991</v>
      </c>
      <c r="X279" s="97">
        <f t="shared" si="68"/>
        <v>8935.180078070433</v>
      </c>
      <c r="Y279" s="98">
        <f t="shared" si="69"/>
        <v>1293.6961399368681</v>
      </c>
      <c r="Z279" s="97">
        <f t="shared" si="70"/>
        <v>8625.55912880719</v>
      </c>
      <c r="AA279" s="98">
        <f t="shared" si="71"/>
        <v>1289.8557401913956</v>
      </c>
      <c r="AB279" s="98">
        <f t="shared" si="72"/>
        <v>8603.363393548232</v>
      </c>
      <c r="AC279" s="91"/>
      <c r="AD279" s="92">
        <f t="shared" si="73"/>
        <v>1289.8370059219474</v>
      </c>
    </row>
    <row r="280" spans="1:30" ht="11.25">
      <c r="A280" s="15"/>
      <c r="B280" s="93">
        <f>IF(C280&gt;$K$1,0,'Ranges and Data'!$A$10)</f>
        <v>535.2234266961229</v>
      </c>
      <c r="C280" s="94">
        <f t="shared" si="74"/>
        <v>39319.91666666621</v>
      </c>
      <c r="D280" s="85">
        <f t="shared" si="66"/>
        <v>7.4166666666679095</v>
      </c>
      <c r="E280" s="15"/>
      <c r="F280" s="21"/>
      <c r="G280" s="21"/>
      <c r="H280" s="21"/>
      <c r="I280" s="21"/>
      <c r="J280" s="21"/>
      <c r="K280" s="21"/>
      <c r="L280" s="21"/>
      <c r="M280" s="15"/>
      <c r="N280" s="42"/>
      <c r="O280" s="86">
        <f t="shared" si="76"/>
        <v>3.132535343469915</v>
      </c>
      <c r="P280" s="86">
        <f t="shared" si="76"/>
        <v>37.99084129650611</v>
      </c>
      <c r="Q280" s="86">
        <f t="shared" si="76"/>
        <v>245.0005499527866</v>
      </c>
      <c r="R280" s="86">
        <f t="shared" si="76"/>
        <v>1085.252668718723</v>
      </c>
      <c r="S280" s="86">
        <f t="shared" si="76"/>
        <v>3746.4071805120507</v>
      </c>
      <c r="T280" s="86">
        <f t="shared" si="76"/>
        <v>10827.926161719548</v>
      </c>
      <c r="U280" s="87">
        <f t="shared" si="76"/>
        <v>27396.680674050458</v>
      </c>
      <c r="V280" s="15"/>
      <c r="W280" s="96">
        <f t="shared" si="67"/>
        <v>1333.6732304538484</v>
      </c>
      <c r="X280" s="97">
        <f t="shared" si="68"/>
        <v>8745.72041780227</v>
      </c>
      <c r="Y280" s="98">
        <f t="shared" si="69"/>
        <v>1281.0716632803285</v>
      </c>
      <c r="Z280" s="97">
        <f t="shared" si="70"/>
        <v>8446.482691023712</v>
      </c>
      <c r="AA280" s="98">
        <f t="shared" si="71"/>
        <v>1277.3109325274984</v>
      </c>
      <c r="AB280" s="98">
        <f t="shared" si="72"/>
        <v>8425.026063194853</v>
      </c>
      <c r="AC280" s="91"/>
      <c r="AD280" s="92">
        <f t="shared" si="73"/>
        <v>1277.2925865953443</v>
      </c>
    </row>
    <row r="281" spans="1:30" ht="11.25">
      <c r="A281" s="15"/>
      <c r="B281" s="93">
        <f>IF(C281&gt;$K$1,0,'Ranges and Data'!$A$10)</f>
        <v>535.2234266961229</v>
      </c>
      <c r="C281" s="94">
        <f t="shared" si="74"/>
        <v>39350.33333333288</v>
      </c>
      <c r="D281" s="85">
        <f t="shared" si="66"/>
        <v>7.333333333334583</v>
      </c>
      <c r="E281" s="15"/>
      <c r="F281" s="21"/>
      <c r="G281" s="21"/>
      <c r="H281" s="21"/>
      <c r="I281" s="21"/>
      <c r="J281" s="21"/>
      <c r="K281" s="21"/>
      <c r="L281" s="21"/>
      <c r="M281" s="15"/>
      <c r="N281" s="42"/>
      <c r="O281" s="86">
        <f t="shared" si="76"/>
        <v>3.31880558818248</v>
      </c>
      <c r="P281" s="86">
        <f t="shared" si="76"/>
        <v>39.13698876998503</v>
      </c>
      <c r="Q281" s="86">
        <f t="shared" si="76"/>
        <v>247.16113645075967</v>
      </c>
      <c r="R281" s="86">
        <f t="shared" si="76"/>
        <v>1076.6671734821857</v>
      </c>
      <c r="S281" s="86">
        <f t="shared" si="76"/>
        <v>3665.385840298637</v>
      </c>
      <c r="T281" s="86">
        <f t="shared" si="76"/>
        <v>10468.175956557005</v>
      </c>
      <c r="U281" s="87">
        <f t="shared" si="76"/>
        <v>26211.62047064564</v>
      </c>
      <c r="V281" s="15"/>
      <c r="W281" s="96">
        <f t="shared" si="67"/>
        <v>1320.061658347963</v>
      </c>
      <c r="X281" s="97">
        <f t="shared" si="68"/>
        <v>8559.197313191904</v>
      </c>
      <c r="Y281" s="98">
        <f t="shared" si="69"/>
        <v>1268.57038202179</v>
      </c>
      <c r="Z281" s="97">
        <f t="shared" si="70"/>
        <v>8270.079882170894</v>
      </c>
      <c r="AA281" s="98">
        <f t="shared" si="71"/>
        <v>1264.8881324605907</v>
      </c>
      <c r="AB281" s="98">
        <f t="shared" si="72"/>
        <v>8249.343866448096</v>
      </c>
      <c r="AC281" s="91"/>
      <c r="AD281" s="92">
        <f t="shared" si="73"/>
        <v>1264.870169084102</v>
      </c>
    </row>
    <row r="282" spans="1:30" ht="11.25">
      <c r="A282" s="15"/>
      <c r="B282" s="93">
        <f>IF(C282&gt;$K$1,0,'Ranges and Data'!$A$10)</f>
        <v>535.2234266961229</v>
      </c>
      <c r="C282" s="94">
        <f t="shared" si="74"/>
        <v>39380.74999999954</v>
      </c>
      <c r="D282" s="85">
        <f t="shared" si="66"/>
        <v>7.250000000001256</v>
      </c>
      <c r="E282" s="15"/>
      <c r="F282" s="21"/>
      <c r="G282" s="21"/>
      <c r="H282" s="21"/>
      <c r="I282" s="21"/>
      <c r="J282" s="21"/>
      <c r="K282" s="21"/>
      <c r="L282" s="21"/>
      <c r="M282" s="15"/>
      <c r="N282" s="42"/>
      <c r="O282" s="86">
        <f t="shared" si="76"/>
        <v>3.5161520380327125</v>
      </c>
      <c r="P282" s="86">
        <f t="shared" si="76"/>
        <v>40.31771442036478</v>
      </c>
      <c r="Q282" s="86">
        <f t="shared" si="76"/>
        <v>249.3407765141885</v>
      </c>
      <c r="R282" s="86">
        <f t="shared" si="76"/>
        <v>1068.1495985840004</v>
      </c>
      <c r="S282" s="86">
        <f t="shared" si="76"/>
        <v>3586.11670086151</v>
      </c>
      <c r="T282" s="86">
        <f t="shared" si="76"/>
        <v>10120.378198075538</v>
      </c>
      <c r="U282" s="87">
        <f t="shared" si="76"/>
        <v>25077.82077220499</v>
      </c>
      <c r="V282" s="15"/>
      <c r="W282" s="96">
        <f t="shared" si="67"/>
        <v>1306.589006999399</v>
      </c>
      <c r="X282" s="97">
        <f t="shared" si="68"/>
        <v>8375.570557689907</v>
      </c>
      <c r="Y282" s="98">
        <f t="shared" si="69"/>
        <v>1256.1910939644006</v>
      </c>
      <c r="Z282" s="97">
        <f t="shared" si="70"/>
        <v>8096.315574263405</v>
      </c>
      <c r="AA282" s="98">
        <f t="shared" si="71"/>
        <v>1252.5861533759298</v>
      </c>
      <c r="AB282" s="98">
        <f t="shared" si="72"/>
        <v>8076.282025952395</v>
      </c>
      <c r="AC282" s="91"/>
      <c r="AD282" s="92">
        <f t="shared" si="73"/>
        <v>1252.5685668492051</v>
      </c>
    </row>
    <row r="283" spans="1:30" ht="11.25">
      <c r="A283" s="15"/>
      <c r="B283" s="93">
        <f>IF(C283&gt;$K$1,0,'Ranges and Data'!$A$10)</f>
        <v>535.2234266961229</v>
      </c>
      <c r="C283" s="94">
        <f t="shared" si="74"/>
        <v>39411.166666666206</v>
      </c>
      <c r="D283" s="85">
        <f t="shared" si="66"/>
        <v>7.166666666667929</v>
      </c>
      <c r="E283" s="15"/>
      <c r="F283" s="21"/>
      <c r="G283" s="21"/>
      <c r="H283" s="21"/>
      <c r="I283" s="21"/>
      <c r="J283" s="21"/>
      <c r="K283" s="21"/>
      <c r="L283" s="21"/>
      <c r="M283" s="15"/>
      <c r="N283" s="42"/>
      <c r="O283" s="86">
        <f t="shared" si="76"/>
        <v>3.7252333184518642</v>
      </c>
      <c r="P283" s="86">
        <f t="shared" si="76"/>
        <v>41.53406143828658</v>
      </c>
      <c r="Q283" s="86">
        <f t="shared" si="76"/>
        <v>251.53963817076232</v>
      </c>
      <c r="R283" s="86">
        <f t="shared" si="76"/>
        <v>1059.6994067025291</v>
      </c>
      <c r="S283" s="86">
        <f t="shared" si="76"/>
        <v>3508.561868387108</v>
      </c>
      <c r="T283" s="86">
        <f t="shared" si="76"/>
        <v>9784.13577466932</v>
      </c>
      <c r="U283" s="87">
        <f t="shared" si="76"/>
        <v>23993.064274188513</v>
      </c>
      <c r="V283" s="15"/>
      <c r="W283" s="96">
        <f t="shared" si="67"/>
        <v>1293.2538585721663</v>
      </c>
      <c r="X283" s="97">
        <f t="shared" si="68"/>
        <v>8194.800459565717</v>
      </c>
      <c r="Y283" s="98">
        <f t="shared" si="69"/>
        <v>1243.9326086428935</v>
      </c>
      <c r="Z283" s="97">
        <f t="shared" si="70"/>
        <v>7925.155070302813</v>
      </c>
      <c r="AA283" s="98">
        <f t="shared" si="71"/>
        <v>1240.4038201994842</v>
      </c>
      <c r="AB283" s="98">
        <f t="shared" si="72"/>
        <v>7905.806189674167</v>
      </c>
      <c r="AC283" s="91"/>
      <c r="AD283" s="92">
        <f t="shared" si="73"/>
        <v>1240.3866048914247</v>
      </c>
    </row>
    <row r="284" spans="1:30" ht="11.25">
      <c r="A284" s="15"/>
      <c r="B284" s="93">
        <f>IF(C284&gt;$K$1,0,'Ranges and Data'!$A$10)</f>
        <v>535.2234266961229</v>
      </c>
      <c r="C284" s="94">
        <f t="shared" si="74"/>
        <v>39441.58333333287</v>
      </c>
      <c r="D284" s="85">
        <f t="shared" si="66"/>
        <v>7.083333333334602</v>
      </c>
      <c r="E284" s="15"/>
      <c r="F284" s="21"/>
      <c r="G284" s="21"/>
      <c r="H284" s="21"/>
      <c r="I284" s="21"/>
      <c r="J284" s="21"/>
      <c r="K284" s="21"/>
      <c r="L284" s="21"/>
      <c r="M284" s="15"/>
      <c r="N284" s="42"/>
      <c r="O284" s="86">
        <f t="shared" si="76"/>
        <v>3.946747218777341</v>
      </c>
      <c r="P284" s="86">
        <f t="shared" si="76"/>
        <v>42.787104486459036</v>
      </c>
      <c r="Q284" s="86">
        <f t="shared" si="76"/>
        <v>253.75789092995615</v>
      </c>
      <c r="R284" s="86">
        <f t="shared" si="76"/>
        <v>1051.316064766916</v>
      </c>
      <c r="S284" s="86">
        <f t="shared" si="76"/>
        <v>3432.6842685690476</v>
      </c>
      <c r="T284" s="86">
        <f t="shared" si="76"/>
        <v>9459.064768485392</v>
      </c>
      <c r="U284" s="87">
        <f t="shared" si="76"/>
        <v>22955.229582922206</v>
      </c>
      <c r="V284" s="15"/>
      <c r="W284" s="96">
        <f t="shared" si="67"/>
        <v>1280.054809700818</v>
      </c>
      <c r="X284" s="97">
        <f t="shared" si="68"/>
        <v>8016.847835587167</v>
      </c>
      <c r="Y284" s="98">
        <f t="shared" si="69"/>
        <v>1231.7937472091053</v>
      </c>
      <c r="Z284" s="97">
        <f t="shared" si="70"/>
        <v>7756.564099211198</v>
      </c>
      <c r="AA284" s="98">
        <f t="shared" si="71"/>
        <v>1228.3399692856938</v>
      </c>
      <c r="AB284" s="98">
        <f t="shared" si="72"/>
        <v>7737.882425918269</v>
      </c>
      <c r="AC284" s="91"/>
      <c r="AD284" s="92">
        <f t="shared" si="73"/>
        <v>1228.3231196390868</v>
      </c>
    </row>
    <row r="285" spans="1:30" ht="11.25">
      <c r="A285" s="15"/>
      <c r="B285" s="93">
        <f>IF(C285&gt;$K$1,0,'Ranges and Data'!$A$10)</f>
        <v>535.2234266961229</v>
      </c>
      <c r="C285" s="94">
        <f t="shared" si="74"/>
        <v>39471.999999999534</v>
      </c>
      <c r="D285" s="85">
        <f t="shared" si="66"/>
        <v>7.000000000001275</v>
      </c>
      <c r="E285" s="15"/>
      <c r="F285" s="21"/>
      <c r="G285" s="21"/>
      <c r="H285" s="21"/>
      <c r="I285" s="21"/>
      <c r="J285" s="21"/>
      <c r="K285" s="21"/>
      <c r="L285" s="21"/>
      <c r="M285" s="15"/>
      <c r="N285" s="42"/>
      <c r="O285" s="86">
        <f t="shared" si="76"/>
        <v>4.1814330210597666</v>
      </c>
      <c r="P285" s="86">
        <f t="shared" si="76"/>
        <v>44.07795064914045</v>
      </c>
      <c r="Q285" s="86">
        <f t="shared" si="76"/>
        <v>255.9957057960985</v>
      </c>
      <c r="R285" s="86">
        <f t="shared" si="76"/>
        <v>1042.9990439234587</v>
      </c>
      <c r="S285" s="86">
        <f t="shared" si="76"/>
        <v>3358.4476288851165</v>
      </c>
      <c r="T285" s="86">
        <f t="shared" si="76"/>
        <v>9144.794017070517</v>
      </c>
      <c r="U285" s="87">
        <f t="shared" si="76"/>
        <v>21962.28706691485</v>
      </c>
      <c r="V285" s="15"/>
      <c r="W285" s="96">
        <f t="shared" si="67"/>
        <v>1266.990471342764</v>
      </c>
      <c r="X285" s="97">
        <f t="shared" si="68"/>
        <v>7841.674004775388</v>
      </c>
      <c r="Y285" s="98">
        <f t="shared" si="69"/>
        <v>1219.7733423186094</v>
      </c>
      <c r="Z285" s="97">
        <f t="shared" si="70"/>
        <v>7590.5088108225955</v>
      </c>
      <c r="AA285" s="98">
        <f t="shared" si="71"/>
        <v>1216.3934483063165</v>
      </c>
      <c r="AB285" s="98">
        <f t="shared" si="72"/>
        <v>7572.477218401132</v>
      </c>
      <c r="AC285" s="91"/>
      <c r="AD285" s="92">
        <f t="shared" si="73"/>
        <v>1216.3769588369316</v>
      </c>
    </row>
    <row r="286" spans="1:30" ht="11.25">
      <c r="A286" s="15"/>
      <c r="B286" s="93">
        <f>IF(C286&gt;$K$1,0,'Ranges and Data'!$A$10)</f>
        <v>535.2234266961229</v>
      </c>
      <c r="C286" s="94">
        <f t="shared" si="74"/>
        <v>39502.4166666662</v>
      </c>
      <c r="D286" s="85">
        <f t="shared" si="66"/>
        <v>6.9166666666679495</v>
      </c>
      <c r="E286" s="15"/>
      <c r="F286" s="21"/>
      <c r="G286" s="21"/>
      <c r="H286" s="21"/>
      <c r="I286" s="21"/>
      <c r="J286" s="21"/>
      <c r="K286" s="21"/>
      <c r="L286" s="21"/>
      <c r="M286" s="15"/>
      <c r="N286" s="42"/>
      <c r="O286" s="86">
        <f t="shared" si="76"/>
        <v>4.430073967348093</v>
      </c>
      <c r="P286" s="86">
        <f t="shared" si="76"/>
        <v>45.407740410266015</v>
      </c>
      <c r="Q286" s="86">
        <f t="shared" si="76"/>
        <v>258.25325528155355</v>
      </c>
      <c r="R286" s="86">
        <f t="shared" si="76"/>
        <v>1034.7478195022466</v>
      </c>
      <c r="S286" s="86">
        <f t="shared" si="76"/>
        <v>3285.8164612575656</v>
      </c>
      <c r="T286" s="86">
        <f t="shared" si="76"/>
        <v>8840.96468958203</v>
      </c>
      <c r="U286" s="87">
        <f t="shared" si="76"/>
        <v>21012.29488762852</v>
      </c>
      <c r="V286" s="15"/>
      <c r="W286" s="96">
        <f t="shared" si="67"/>
        <v>1254.0594686320906</v>
      </c>
      <c r="X286" s="97">
        <f t="shared" si="68"/>
        <v>7669.240782234219</v>
      </c>
      <c r="Y286" s="98">
        <f t="shared" si="69"/>
        <v>1207.8702380184593</v>
      </c>
      <c r="Z286" s="97">
        <f t="shared" si="70"/>
        <v>7426.955770931663</v>
      </c>
      <c r="AA286" s="98">
        <f t="shared" si="71"/>
        <v>1204.563116140362</v>
      </c>
      <c r="AB286" s="98">
        <f t="shared" si="72"/>
        <v>7409.557461380009</v>
      </c>
      <c r="AC286" s="91"/>
      <c r="AD286" s="92">
        <f t="shared" si="73"/>
        <v>1204.5469814360572</v>
      </c>
    </row>
    <row r="287" spans="1:30" ht="11.25">
      <c r="A287" s="15"/>
      <c r="B287" s="93">
        <f>IF(C287&gt;$K$1,0,'Ranges and Data'!$A$10)</f>
        <v>535.2234266961229</v>
      </c>
      <c r="C287" s="94">
        <f t="shared" si="74"/>
        <v>39532.83333333286</v>
      </c>
      <c r="D287" s="85">
        <f t="shared" si="66"/>
        <v>6.833333333334623</v>
      </c>
      <c r="E287" s="15"/>
      <c r="F287" s="21"/>
      <c r="G287" s="21"/>
      <c r="H287" s="21"/>
      <c r="I287" s="21"/>
      <c r="J287" s="21"/>
      <c r="K287" s="21"/>
      <c r="L287" s="21"/>
      <c r="M287" s="15"/>
      <c r="N287" s="42"/>
      <c r="O287" s="86">
        <f t="shared" si="76"/>
        <v>4.693499873687147</v>
      </c>
      <c r="P287" s="86">
        <f t="shared" si="76"/>
        <v>46.77764866108433</v>
      </c>
      <c r="Q287" s="86">
        <f t="shared" si="76"/>
        <v>260.5307134200208</v>
      </c>
      <c r="R287" s="86">
        <f t="shared" si="76"/>
        <v>1026.5618709840621</v>
      </c>
      <c r="S287" s="86">
        <f t="shared" si="76"/>
        <v>3214.756045088387</v>
      </c>
      <c r="T287" s="86">
        <f t="shared" si="76"/>
        <v>8547.229877078762</v>
      </c>
      <c r="U287" s="87">
        <f t="shared" si="76"/>
        <v>20103.395201940668</v>
      </c>
      <c r="V287" s="15"/>
      <c r="W287" s="96">
        <f t="shared" si="67"/>
        <v>1241.2604407348708</v>
      </c>
      <c r="X287" s="97">
        <f t="shared" si="68"/>
        <v>7499.510473053243</v>
      </c>
      <c r="Y287" s="98">
        <f t="shared" si="69"/>
        <v>1196.0832896360232</v>
      </c>
      <c r="Z287" s="97">
        <f t="shared" si="70"/>
        <v>7265.871956398853</v>
      </c>
      <c r="AA287" s="98">
        <f t="shared" si="71"/>
        <v>1192.84784276509</v>
      </c>
      <c r="AB287" s="98">
        <f t="shared" si="72"/>
        <v>7249.090454837639</v>
      </c>
      <c r="AC287" s="91"/>
      <c r="AD287" s="92">
        <f t="shared" si="73"/>
        <v>1192.8320574849279</v>
      </c>
    </row>
    <row r="288" spans="1:30" ht="11.25">
      <c r="A288" s="15"/>
      <c r="B288" s="93">
        <f>IF(C288&gt;$K$1,0,'Ranges and Data'!$A$10)</f>
        <v>535.2234266961229</v>
      </c>
      <c r="C288" s="94">
        <f t="shared" si="74"/>
        <v>39563.24999999953</v>
      </c>
      <c r="D288" s="85">
        <f t="shared" si="66"/>
        <v>6.750000000001296</v>
      </c>
      <c r="E288" s="15"/>
      <c r="F288" s="21"/>
      <c r="G288" s="21"/>
      <c r="H288" s="21"/>
      <c r="I288" s="21"/>
      <c r="J288" s="21"/>
      <c r="K288" s="21"/>
      <c r="L288" s="21"/>
      <c r="M288" s="15"/>
      <c r="N288" s="42"/>
      <c r="O288" s="86">
        <f t="shared" si="76"/>
        <v>4.972589899551524</v>
      </c>
      <c r="P288" s="86">
        <f t="shared" si="76"/>
        <v>48.188885738193136</v>
      </c>
      <c r="Q288" s="86">
        <f t="shared" si="76"/>
        <v>262.8282557799505</v>
      </c>
      <c r="R288" s="86">
        <f t="shared" si="76"/>
        <v>1018.440681967545</v>
      </c>
      <c r="S288" s="86">
        <f t="shared" si="76"/>
        <v>3145.2324106614865</v>
      </c>
      <c r="T288" s="86">
        <f t="shared" si="76"/>
        <v>8263.254196424308</v>
      </c>
      <c r="U288" s="87">
        <f t="shared" si="76"/>
        <v>19233.810528870963</v>
      </c>
      <c r="V288" s="15"/>
      <c r="W288" s="96">
        <f t="shared" si="67"/>
        <v>1228.5920407059552</v>
      </c>
      <c r="X288" s="97">
        <f t="shared" si="68"/>
        <v>7332.445866283634</v>
      </c>
      <c r="Y288" s="98">
        <f t="shared" si="69"/>
        <v>1184.4113636689071</v>
      </c>
      <c r="Z288" s="97">
        <f t="shared" si="70"/>
        <v>7107.224750311557</v>
      </c>
      <c r="AA288" s="98">
        <f t="shared" si="71"/>
        <v>1181.2465091480744</v>
      </c>
      <c r="AB288" s="98">
        <f t="shared" si="72"/>
        <v>7091.043899721775</v>
      </c>
      <c r="AC288" s="91"/>
      <c r="AD288" s="92">
        <f t="shared" si="73"/>
        <v>1181.2310680214493</v>
      </c>
    </row>
    <row r="289" spans="1:30" ht="11.25">
      <c r="A289" s="15"/>
      <c r="B289" s="93">
        <f>IF(C289&gt;$K$1,0,'Ranges and Data'!$A$10)</f>
        <v>535.2234266961229</v>
      </c>
      <c r="C289" s="94">
        <f t="shared" si="74"/>
        <v>39593.66666666619</v>
      </c>
      <c r="D289" s="85">
        <f t="shared" si="66"/>
        <v>6.666666666667969</v>
      </c>
      <c r="E289" s="15"/>
      <c r="F289" s="21"/>
      <c r="G289" s="21"/>
      <c r="H289" s="21"/>
      <c r="I289" s="21"/>
      <c r="J289" s="21"/>
      <c r="K289" s="21"/>
      <c r="L289" s="21"/>
      <c r="M289" s="15"/>
      <c r="N289" s="42"/>
      <c r="O289" s="86">
        <f aca="true" t="shared" si="77" ref="O289:U298">$B289*O$7^$D289</f>
        <v>5.268275481958613</v>
      </c>
      <c r="P289" s="86">
        <f t="shared" si="77"/>
        <v>49.64269849289183</v>
      </c>
      <c r="Q289" s="86">
        <f t="shared" si="77"/>
        <v>265.14605947807854</v>
      </c>
      <c r="R289" s="86">
        <f t="shared" si="77"/>
        <v>1010.3837401366153</v>
      </c>
      <c r="S289" s="86">
        <f t="shared" si="77"/>
        <v>3077.2123229037993</v>
      </c>
      <c r="T289" s="86">
        <f t="shared" si="77"/>
        <v>7988.713407350274</v>
      </c>
      <c r="U289" s="87">
        <f t="shared" si="77"/>
        <v>18401.84027346762</v>
      </c>
      <c r="V289" s="15"/>
      <c r="W289" s="96">
        <f t="shared" si="67"/>
        <v>1216.0529353472198</v>
      </c>
      <c r="X289" s="97">
        <f t="shared" si="68"/>
        <v>7168.010228985896</v>
      </c>
      <c r="Y289" s="98">
        <f t="shared" si="69"/>
        <v>1172.8533376759503</v>
      </c>
      <c r="Z289" s="97">
        <f t="shared" si="70"/>
        <v>6950.981937200504</v>
      </c>
      <c r="AA289" s="98">
        <f t="shared" si="71"/>
        <v>1169.758007140312</v>
      </c>
      <c r="AB289" s="98">
        <f t="shared" si="72"/>
        <v>6935.385893238897</v>
      </c>
      <c r="AC289" s="91"/>
      <c r="AD289" s="92">
        <f t="shared" si="73"/>
        <v>1169.7429049660866</v>
      </c>
    </row>
    <row r="290" spans="1:30" ht="11.25">
      <c r="A290" s="15"/>
      <c r="B290" s="93">
        <f>IF(C290&gt;$K$1,0,'Ranges and Data'!$A$10)</f>
        <v>535.2234266961229</v>
      </c>
      <c r="C290" s="94">
        <f t="shared" si="74"/>
        <v>39624.083333332856</v>
      </c>
      <c r="D290" s="85">
        <f t="shared" si="66"/>
        <v>6.583333333334642</v>
      </c>
      <c r="E290" s="15"/>
      <c r="F290" s="21"/>
      <c r="G290" s="21"/>
      <c r="H290" s="21"/>
      <c r="I290" s="21"/>
      <c r="J290" s="21"/>
      <c r="K290" s="21"/>
      <c r="L290" s="21"/>
      <c r="M290" s="15"/>
      <c r="N290" s="42"/>
      <c r="O290" s="86">
        <f t="shared" si="77"/>
        <v>5.581543444053055</v>
      </c>
      <c r="P290" s="86">
        <f t="shared" si="77"/>
        <v>51.14037139279511</v>
      </c>
      <c r="Q290" s="86">
        <f t="shared" si="77"/>
        <v>267.4843031930804</v>
      </c>
      <c r="R290" s="86">
        <f t="shared" si="77"/>
        <v>1002.3905372281544</v>
      </c>
      <c r="S290" s="86">
        <f t="shared" si="77"/>
        <v>3010.663265497599</v>
      </c>
      <c r="T290" s="86">
        <f t="shared" si="77"/>
        <v>7723.294042242361</v>
      </c>
      <c r="U290" s="87">
        <f t="shared" si="77"/>
        <v>17605.857401055135</v>
      </c>
      <c r="V290" s="15"/>
      <c r="W290" s="96">
        <f t="shared" si="67"/>
        <v>1203.6418050672642</v>
      </c>
      <c r="X290" s="97">
        <f t="shared" si="68"/>
        <v>7006.167300348716</v>
      </c>
      <c r="Y290" s="98">
        <f t="shared" si="69"/>
        <v>1161.4081001692846</v>
      </c>
      <c r="Z290" s="97">
        <f t="shared" si="70"/>
        <v>6797.11169831086</v>
      </c>
      <c r="AA290" s="98">
        <f t="shared" si="71"/>
        <v>1158.381239370374</v>
      </c>
      <c r="AB290" s="98">
        <f t="shared" si="72"/>
        <v>6782.084924201573</v>
      </c>
      <c r="AC290" s="91"/>
      <c r="AD290" s="92">
        <f t="shared" si="73"/>
        <v>1158.3664710160272</v>
      </c>
    </row>
    <row r="291" spans="1:30" ht="11.25">
      <c r="A291" s="15"/>
      <c r="B291" s="93">
        <f>IF(C291&gt;$K$1,0,'Ranges and Data'!$A$10)</f>
        <v>535.2234266961229</v>
      </c>
      <c r="C291" s="94">
        <f t="shared" si="74"/>
        <v>39654.49999999952</v>
      </c>
      <c r="D291" s="85">
        <f t="shared" si="66"/>
        <v>6.500000000001315</v>
      </c>
      <c r="E291" s="15"/>
      <c r="F291" s="21"/>
      <c r="G291" s="21"/>
      <c r="H291" s="21"/>
      <c r="I291" s="21"/>
      <c r="J291" s="21"/>
      <c r="K291" s="21"/>
      <c r="L291" s="21"/>
      <c r="M291" s="15"/>
      <c r="N291" s="42"/>
      <c r="O291" s="86">
        <f t="shared" si="77"/>
        <v>5.9134392885372575</v>
      </c>
      <c r="P291" s="86">
        <f t="shared" si="77"/>
        <v>52.68322765668143</v>
      </c>
      <c r="Q291" s="86">
        <f t="shared" si="77"/>
        <v>269.84316717934524</v>
      </c>
      <c r="R291" s="86">
        <f t="shared" si="77"/>
        <v>994.4605689999419</v>
      </c>
      <c r="S291" s="86">
        <f t="shared" si="77"/>
        <v>2945.5534253364</v>
      </c>
      <c r="T291" s="86">
        <f t="shared" si="77"/>
        <v>7466.693048226524</v>
      </c>
      <c r="U291" s="87">
        <f t="shared" si="77"/>
        <v>16844.30525533945</v>
      </c>
      <c r="V291" s="15"/>
      <c r="W291" s="96">
        <f t="shared" si="67"/>
        <v>1191.3573437425398</v>
      </c>
      <c r="X291" s="97">
        <f t="shared" si="68"/>
        <v>6846.881285878051</v>
      </c>
      <c r="Y291" s="98">
        <f t="shared" si="69"/>
        <v>1150.0745505074465</v>
      </c>
      <c r="Z291" s="97">
        <f t="shared" si="70"/>
        <v>6645.582606927381</v>
      </c>
      <c r="AA291" s="98">
        <f t="shared" si="71"/>
        <v>1147.1151191395859</v>
      </c>
      <c r="AB291" s="98">
        <f t="shared" si="72"/>
        <v>6631.109868428819</v>
      </c>
      <c r="AC291" s="91"/>
      <c r="AD291" s="92">
        <f t="shared" si="73"/>
        <v>1147.1006795403705</v>
      </c>
    </row>
    <row r="292" spans="1:30" ht="11.25">
      <c r="A292" s="15"/>
      <c r="B292" s="93">
        <f>IF(C292&gt;$K$1,0,'Ranges and Data'!$A$10)</f>
        <v>535.2234266961229</v>
      </c>
      <c r="C292" s="94">
        <f t="shared" si="74"/>
        <v>39684.916666666184</v>
      </c>
      <c r="D292" s="85">
        <f t="shared" si="66"/>
        <v>6.416666666667989</v>
      </c>
      <c r="E292" s="15"/>
      <c r="F292" s="21"/>
      <c r="G292" s="21"/>
      <c r="H292" s="21"/>
      <c r="I292" s="21"/>
      <c r="J292" s="21"/>
      <c r="K292" s="21"/>
      <c r="L292" s="21"/>
      <c r="M292" s="15"/>
      <c r="N292" s="42"/>
      <c r="O292" s="86">
        <f t="shared" si="77"/>
        <v>6.265070686939485</v>
      </c>
      <c r="P292" s="86">
        <f t="shared" si="77"/>
        <v>54.27263042357862</v>
      </c>
      <c r="Q292" s="86">
        <f t="shared" si="77"/>
        <v>272.22283328087167</v>
      </c>
      <c r="R292" s="86">
        <f t="shared" si="77"/>
        <v>986.5933351988464</v>
      </c>
      <c r="S292" s="86">
        <f t="shared" si="77"/>
        <v>2881.851677317022</v>
      </c>
      <c r="T292" s="86">
        <f t="shared" si="77"/>
        <v>7218.617441146596</v>
      </c>
      <c r="U292" s="87">
        <f t="shared" si="77"/>
        <v>16115.694514148005</v>
      </c>
      <c r="V292" s="15"/>
      <c r="W292" s="96">
        <f t="shared" si="67"/>
        <v>1179.198258579895</v>
      </c>
      <c r="X292" s="97">
        <f t="shared" si="68"/>
        <v>6690.116851655661</v>
      </c>
      <c r="Y292" s="98">
        <f t="shared" si="69"/>
        <v>1138.851598789534</v>
      </c>
      <c r="Z292" s="97">
        <f t="shared" si="70"/>
        <v>6496.36362375303</v>
      </c>
      <c r="AA292" s="98">
        <f t="shared" si="71"/>
        <v>1135.9585703182274</v>
      </c>
      <c r="AB292" s="98">
        <f t="shared" si="72"/>
        <v>6482.429984198899</v>
      </c>
      <c r="AC292" s="91"/>
      <c r="AD292" s="92">
        <f t="shared" si="73"/>
        <v>1135.944454476336</v>
      </c>
    </row>
    <row r="293" spans="1:30" ht="11.25">
      <c r="A293" s="15"/>
      <c r="B293" s="93">
        <f>IF(C293&gt;$K$1,0,'Ranges and Data'!$A$10)</f>
        <v>535.2234266961229</v>
      </c>
      <c r="C293" s="94">
        <f t="shared" si="74"/>
        <v>39715.33333333285</v>
      </c>
      <c r="D293" s="85">
        <f t="shared" si="66"/>
        <v>6.333333333334663</v>
      </c>
      <c r="E293" s="15"/>
      <c r="F293" s="21"/>
      <c r="G293" s="21"/>
      <c r="H293" s="21"/>
      <c r="I293" s="21"/>
      <c r="J293" s="21"/>
      <c r="K293" s="21"/>
      <c r="L293" s="21"/>
      <c r="M293" s="15"/>
      <c r="N293" s="42"/>
      <c r="O293" s="86">
        <f t="shared" si="77"/>
        <v>6.637611176364588</v>
      </c>
      <c r="P293" s="86">
        <f t="shared" si="77"/>
        <v>55.909983957119884</v>
      </c>
      <c r="Q293" s="86">
        <f t="shared" si="77"/>
        <v>274.6234849452862</v>
      </c>
      <c r="R293" s="86">
        <f t="shared" si="77"/>
        <v>978.7883395292672</v>
      </c>
      <c r="S293" s="86">
        <f t="shared" si="77"/>
        <v>2819.527569460549</v>
      </c>
      <c r="T293" s="86">
        <f t="shared" si="77"/>
        <v>6978.783971038232</v>
      </c>
      <c r="U293" s="87">
        <f t="shared" si="77"/>
        <v>15418.600276851028</v>
      </c>
      <c r="V293" s="15"/>
      <c r="W293" s="96">
        <f t="shared" si="67"/>
        <v>1167.163269980527</v>
      </c>
      <c r="X293" s="97">
        <f t="shared" si="68"/>
        <v>6535.839118666275</v>
      </c>
      <c r="Y293" s="98">
        <f t="shared" si="69"/>
        <v>1127.7381657503947</v>
      </c>
      <c r="Z293" s="97">
        <f t="shared" si="70"/>
        <v>6349.424092340459</v>
      </c>
      <c r="AA293" s="98">
        <f t="shared" si="71"/>
        <v>1124.910527242741</v>
      </c>
      <c r="AB293" s="98">
        <f t="shared" si="72"/>
        <v>6336.014907753961</v>
      </c>
      <c r="AC293" s="91"/>
      <c r="AD293" s="92">
        <f t="shared" si="73"/>
        <v>1124.8967302264841</v>
      </c>
    </row>
    <row r="294" spans="1:30" ht="11.25">
      <c r="A294" s="15"/>
      <c r="B294" s="93">
        <f>IF(C294&gt;$K$1,0,'Ranges and Data'!$A$10)</f>
        <v>535.2234266961229</v>
      </c>
      <c r="C294" s="94">
        <f t="shared" si="74"/>
        <v>39745.74999999951</v>
      </c>
      <c r="D294" s="85">
        <f t="shared" si="66"/>
        <v>6.250000000001336</v>
      </c>
      <c r="E294" s="15"/>
      <c r="F294" s="21"/>
      <c r="G294" s="21"/>
      <c r="H294" s="21"/>
      <c r="I294" s="21"/>
      <c r="J294" s="21"/>
      <c r="K294" s="21"/>
      <c r="L294" s="21"/>
      <c r="M294" s="15"/>
      <c r="N294" s="42"/>
      <c r="O294" s="86">
        <f t="shared" si="77"/>
        <v>7.032304076065039</v>
      </c>
      <c r="P294" s="86">
        <f t="shared" si="77"/>
        <v>57.59673488623377</v>
      </c>
      <c r="Q294" s="86">
        <f t="shared" si="77"/>
        <v>277.04530723798484</v>
      </c>
      <c r="R294" s="86">
        <f t="shared" si="77"/>
        <v>971.0450896218259</v>
      </c>
      <c r="S294" s="86">
        <f t="shared" si="77"/>
        <v>2758.551308355065</v>
      </c>
      <c r="T294" s="86">
        <f t="shared" si="77"/>
        <v>6746.918798717243</v>
      </c>
      <c r="U294" s="87">
        <f t="shared" si="77"/>
        <v>14751.65927776827</v>
      </c>
      <c r="V294" s="15"/>
      <c r="W294" s="96">
        <f t="shared" si="67"/>
        <v>1155.2511114053157</v>
      </c>
      <c r="X294" s="97">
        <f t="shared" si="68"/>
        <v>6384.013657192543</v>
      </c>
      <c r="Y294" s="98">
        <f t="shared" si="69"/>
        <v>1116.7331826568386</v>
      </c>
      <c r="Z294" s="97">
        <f t="shared" si="70"/>
        <v>6204.733734575759</v>
      </c>
      <c r="AA294" s="98">
        <f t="shared" si="71"/>
        <v>1113.9699346139407</v>
      </c>
      <c r="AB294" s="98">
        <f t="shared" si="72"/>
        <v>6191.8346488559355</v>
      </c>
      <c r="AC294" s="91"/>
      <c r="AD294" s="92">
        <f t="shared" si="73"/>
        <v>1113.956451556933</v>
      </c>
    </row>
    <row r="295" spans="1:30" ht="11.25">
      <c r="A295" s="15"/>
      <c r="B295" s="93">
        <f>IF(C295&gt;$K$1,0,'Ranges and Data'!$A$10)</f>
        <v>535.2234266961229</v>
      </c>
      <c r="C295" s="94">
        <f t="shared" si="74"/>
        <v>39776.16666666618</v>
      </c>
      <c r="D295" s="85">
        <f t="shared" si="66"/>
        <v>6.166666666668009</v>
      </c>
      <c r="E295" s="15"/>
      <c r="F295" s="21"/>
      <c r="G295" s="21"/>
      <c r="H295" s="21"/>
      <c r="I295" s="21"/>
      <c r="J295" s="21"/>
      <c r="K295" s="21"/>
      <c r="L295" s="21"/>
      <c r="M295" s="15"/>
      <c r="N295" s="42"/>
      <c r="O295" s="86">
        <f t="shared" si="77"/>
        <v>7.450466636903319</v>
      </c>
      <c r="P295" s="86">
        <f t="shared" si="77"/>
        <v>59.33437348326486</v>
      </c>
      <c r="Q295" s="86">
        <f t="shared" si="77"/>
        <v>279.4884868564002</v>
      </c>
      <c r="R295" s="86">
        <f t="shared" si="77"/>
        <v>963.3630970023065</v>
      </c>
      <c r="S295" s="86">
        <f t="shared" si="77"/>
        <v>2698.8937449132172</v>
      </c>
      <c r="T295" s="86">
        <f t="shared" si="77"/>
        <v>6522.75718311309</v>
      </c>
      <c r="U295" s="87">
        <f t="shared" si="77"/>
        <v>14113.567220111487</v>
      </c>
      <c r="V295" s="15"/>
      <c r="W295" s="96">
        <f t="shared" si="67"/>
        <v>1143.4605292415376</v>
      </c>
      <c r="X295" s="97">
        <f t="shared" si="68"/>
        <v>6234.606481277056</v>
      </c>
      <c r="Y295" s="98">
        <f t="shared" si="69"/>
        <v>1105.8355912048594</v>
      </c>
      <c r="Z295" s="97">
        <f t="shared" si="70"/>
        <v>6062.262646213886</v>
      </c>
      <c r="AA295" s="98">
        <f t="shared" si="71"/>
        <v>1103.1357473962116</v>
      </c>
      <c r="AB295" s="98">
        <f t="shared" si="72"/>
        <v>6049.859586393138</v>
      </c>
      <c r="AC295" s="91"/>
      <c r="AD295" s="92">
        <f t="shared" si="73"/>
        <v>1103.1225734965678</v>
      </c>
    </row>
    <row r="296" spans="1:30" ht="11.25">
      <c r="A296" s="15"/>
      <c r="B296" s="93">
        <f>IF(C296&gt;$K$1,0,'Ranges and Data'!$A$10)</f>
        <v>535.2234266961229</v>
      </c>
      <c r="C296" s="94">
        <f t="shared" si="74"/>
        <v>39806.58333333284</v>
      </c>
      <c r="D296" s="85">
        <f t="shared" si="66"/>
        <v>6.083333333334682</v>
      </c>
      <c r="E296" s="15"/>
      <c r="F296" s="21"/>
      <c r="G296" s="21"/>
      <c r="H296" s="21"/>
      <c r="I296" s="21"/>
      <c r="J296" s="21"/>
      <c r="K296" s="21"/>
      <c r="L296" s="21"/>
      <c r="M296" s="15"/>
      <c r="N296" s="42"/>
      <c r="O296" s="86">
        <f t="shared" si="77"/>
        <v>7.893494437554241</v>
      </c>
      <c r="P296" s="86">
        <f t="shared" si="77"/>
        <v>61.12443498065401</v>
      </c>
      <c r="Q296" s="86">
        <f t="shared" si="77"/>
        <v>281.9532121443934</v>
      </c>
      <c r="R296" s="86">
        <f t="shared" si="77"/>
        <v>955.7418770608399</v>
      </c>
      <c r="S296" s="86">
        <f t="shared" si="77"/>
        <v>2640.5263604377847</v>
      </c>
      <c r="T296" s="86">
        <f t="shared" si="77"/>
        <v>6306.043178990465</v>
      </c>
      <c r="U296" s="87">
        <f t="shared" si="77"/>
        <v>13503.076225248935</v>
      </c>
      <c r="V296" s="15"/>
      <c r="W296" s="96">
        <f t="shared" si="67"/>
        <v>1131.7902826709378</v>
      </c>
      <c r="X296" s="97">
        <f t="shared" si="68"/>
        <v>6087.584043250573</v>
      </c>
      <c r="Y296" s="98">
        <f t="shared" si="69"/>
        <v>1095.0443434178655</v>
      </c>
      <c r="Z296" s="97">
        <f t="shared" si="70"/>
        <v>5921.981292465222</v>
      </c>
      <c r="AA296" s="98">
        <f t="shared" si="71"/>
        <v>1092.4069307176878</v>
      </c>
      <c r="AB296" s="98">
        <f t="shared" si="72"/>
        <v>5910.060464036983</v>
      </c>
      <c r="AC296" s="91"/>
      <c r="AD296" s="92">
        <f t="shared" si="73"/>
        <v>1092.3940612372294</v>
      </c>
    </row>
    <row r="297" spans="1:30" ht="11.25">
      <c r="A297" s="15"/>
      <c r="B297" s="93">
        <f>IF(C297&gt;$K$1,0,'Ranges and Data'!$A$10)</f>
        <v>535.2234266961229</v>
      </c>
      <c r="C297" s="94">
        <f t="shared" si="74"/>
        <v>39836.999999999505</v>
      </c>
      <c r="D297" s="85">
        <f t="shared" si="66"/>
        <v>6.000000000001355</v>
      </c>
      <c r="E297" s="15"/>
      <c r="F297" s="21"/>
      <c r="G297" s="21"/>
      <c r="H297" s="21"/>
      <c r="I297" s="21"/>
      <c r="J297" s="21"/>
      <c r="K297" s="21"/>
      <c r="L297" s="21"/>
      <c r="M297" s="15"/>
      <c r="N297" s="42"/>
      <c r="O297" s="86">
        <f t="shared" si="77"/>
        <v>8.362866042119066</v>
      </c>
      <c r="P297" s="86">
        <f t="shared" si="77"/>
        <v>62.96850092734169</v>
      </c>
      <c r="Q297" s="86">
        <f t="shared" si="77"/>
        <v>284.43967310677374</v>
      </c>
      <c r="R297" s="86">
        <f t="shared" si="77"/>
        <v>948.1809490213333</v>
      </c>
      <c r="S297" s="86">
        <f t="shared" si="77"/>
        <v>2583.421252988605</v>
      </c>
      <c r="T297" s="86">
        <f t="shared" si="77"/>
        <v>6096.529344713875</v>
      </c>
      <c r="U297" s="87">
        <f t="shared" si="77"/>
        <v>12918.9923923034</v>
      </c>
      <c r="V297" s="15"/>
      <c r="W297" s="96">
        <f t="shared" si="67"/>
        <v>1120.2391435391482</v>
      </c>
      <c r="X297" s="97">
        <f t="shared" si="68"/>
        <v>5942.913228325736</v>
      </c>
      <c r="Y297" s="98">
        <f t="shared" si="69"/>
        <v>1084.3584015458978</v>
      </c>
      <c r="Z297" s="97">
        <f t="shared" si="70"/>
        <v>5783.860503632634</v>
      </c>
      <c r="AA297" s="98">
        <f t="shared" si="71"/>
        <v>1081.7824597714032</v>
      </c>
      <c r="AB297" s="98">
        <f t="shared" si="72"/>
        <v>5772.40838594828</v>
      </c>
      <c r="AC297" s="91"/>
      <c r="AD297" s="92">
        <f t="shared" si="73"/>
        <v>1081.769890034872</v>
      </c>
    </row>
    <row r="298" spans="1:30" ht="11.25">
      <c r="A298" s="15"/>
      <c r="B298" s="93">
        <f>IF(C298&gt;$K$1,0,'Ranges and Data'!$A$10)</f>
        <v>535.2234266961229</v>
      </c>
      <c r="C298" s="94">
        <f t="shared" si="74"/>
        <v>39867.41666666617</v>
      </c>
      <c r="D298" s="85">
        <f t="shared" si="66"/>
        <v>5.9166666666680285</v>
      </c>
      <c r="E298" s="15"/>
      <c r="F298" s="21"/>
      <c r="G298" s="21"/>
      <c r="H298" s="21"/>
      <c r="I298" s="21"/>
      <c r="J298" s="21"/>
      <c r="K298" s="21"/>
      <c r="L298" s="21"/>
      <c r="M298" s="15"/>
      <c r="N298" s="42"/>
      <c r="O298" s="86">
        <f t="shared" si="77"/>
        <v>8.860147934695698</v>
      </c>
      <c r="P298" s="86">
        <f t="shared" si="77"/>
        <v>64.86820058609246</v>
      </c>
      <c r="Q298" s="86">
        <f t="shared" si="77"/>
        <v>286.94806142394606</v>
      </c>
      <c r="R298" s="86">
        <f t="shared" si="77"/>
        <v>940.6798359111402</v>
      </c>
      <c r="S298" s="86">
        <f t="shared" si="77"/>
        <v>2527.551124044334</v>
      </c>
      <c r="T298" s="86">
        <f t="shared" si="77"/>
        <v>5893.976459721543</v>
      </c>
      <c r="U298" s="87">
        <f t="shared" si="77"/>
        <v>12360.17346331141</v>
      </c>
      <c r="V298" s="15"/>
      <c r="W298" s="96">
        <f t="shared" si="67"/>
        <v>1108.8058962264392</v>
      </c>
      <c r="X298" s="97">
        <f t="shared" si="68"/>
        <v>5800.561349255476</v>
      </c>
      <c r="Y298" s="98">
        <f t="shared" si="69"/>
        <v>1073.7767379658344</v>
      </c>
      <c r="Z298" s="97">
        <f t="shared" si="70"/>
        <v>5647.871470798528</v>
      </c>
      <c r="AA298" s="98">
        <f t="shared" si="71"/>
        <v>1071.2613197174028</v>
      </c>
      <c r="AB298" s="98">
        <f t="shared" si="72"/>
        <v>5636.874812532533</v>
      </c>
      <c r="AC298" s="91"/>
      <c r="AD298" s="92">
        <f t="shared" si="73"/>
        <v>1071.2490451116867</v>
      </c>
    </row>
    <row r="299" spans="1:30" ht="11.25">
      <c r="A299" s="15"/>
      <c r="B299" s="93">
        <f>IF(C299&gt;$K$1,0,'Ranges and Data'!$A$10)</f>
        <v>535.2234266961229</v>
      </c>
      <c r="C299" s="94">
        <f t="shared" si="74"/>
        <v>39897.833333332834</v>
      </c>
      <c r="D299" s="85">
        <f t="shared" si="66"/>
        <v>5.833333333334702</v>
      </c>
      <c r="E299" s="15"/>
      <c r="F299" s="21"/>
      <c r="G299" s="21"/>
      <c r="H299" s="21"/>
      <c r="I299" s="21"/>
      <c r="J299" s="21"/>
      <c r="K299" s="21"/>
      <c r="L299" s="21"/>
      <c r="M299" s="15"/>
      <c r="N299" s="42"/>
      <c r="O299" s="86">
        <f aca="true" t="shared" si="78" ref="O299:U308">$B299*O$7^$D299</f>
        <v>9.386999747373777</v>
      </c>
      <c r="P299" s="86">
        <f t="shared" si="78"/>
        <v>66.82521237297571</v>
      </c>
      <c r="Q299" s="86">
        <f t="shared" si="78"/>
        <v>289.47857046668736</v>
      </c>
      <c r="R299" s="86">
        <f t="shared" si="78"/>
        <v>933.2380645309726</v>
      </c>
      <c r="S299" s="86">
        <f t="shared" si="78"/>
        <v>2472.889265452657</v>
      </c>
      <c r="T299" s="86">
        <f t="shared" si="78"/>
        <v>5698.153251386025</v>
      </c>
      <c r="U299" s="87">
        <f t="shared" si="78"/>
        <v>11825.52658937736</v>
      </c>
      <c r="V299" s="15"/>
      <c r="W299" s="96">
        <f t="shared" si="67"/>
        <v>1097.4893375197905</v>
      </c>
      <c r="X299" s="97">
        <f t="shared" si="68"/>
        <v>5660.496141055361</v>
      </c>
      <c r="Y299" s="98">
        <f t="shared" si="69"/>
        <v>1063.2983350825684</v>
      </c>
      <c r="Z299" s="97">
        <f t="shared" si="70"/>
        <v>5513.985741561297</v>
      </c>
      <c r="AA299" s="98">
        <f t="shared" si="71"/>
        <v>1060.8425055858058</v>
      </c>
      <c r="AB299" s="98">
        <f t="shared" si="72"/>
        <v>5503.431556243717</v>
      </c>
      <c r="AC299" s="91"/>
      <c r="AD299" s="92">
        <f t="shared" si="73"/>
        <v>1060.8305215591713</v>
      </c>
    </row>
    <row r="300" spans="1:30" ht="11.25">
      <c r="A300" s="15"/>
      <c r="B300" s="93">
        <f>IF(C300&gt;$K$1,0,'Ranges and Data'!$A$10)</f>
        <v>535.2234266961229</v>
      </c>
      <c r="C300" s="94">
        <f t="shared" si="74"/>
        <v>39928.2499999995</v>
      </c>
      <c r="D300" s="85">
        <f t="shared" si="66"/>
        <v>5.750000000001376</v>
      </c>
      <c r="E300" s="15"/>
      <c r="F300" s="21"/>
      <c r="G300" s="21"/>
      <c r="H300" s="21"/>
      <c r="I300" s="21"/>
      <c r="J300" s="21"/>
      <c r="K300" s="21"/>
      <c r="L300" s="21"/>
      <c r="M300" s="15"/>
      <c r="N300" s="42"/>
      <c r="O300" s="86">
        <f t="shared" si="78"/>
        <v>9.945179799102496</v>
      </c>
      <c r="P300" s="86">
        <f t="shared" si="78"/>
        <v>68.84126534027396</v>
      </c>
      <c r="Q300" s="86">
        <f t="shared" si="78"/>
        <v>292.0313953110536</v>
      </c>
      <c r="R300" s="86">
        <f t="shared" si="78"/>
        <v>925.855165425048</v>
      </c>
      <c r="S300" s="86">
        <f t="shared" si="78"/>
        <v>2419.4095466627327</v>
      </c>
      <c r="T300" s="86">
        <f t="shared" si="78"/>
        <v>5508.836130949719</v>
      </c>
      <c r="U300" s="87">
        <f t="shared" si="78"/>
        <v>11314.006193453986</v>
      </c>
      <c r="V300" s="15"/>
      <c r="W300" s="96">
        <f t="shared" si="67"/>
        <v>1086.2882764862663</v>
      </c>
      <c r="X300" s="97">
        <f t="shared" si="68"/>
        <v>5522.685755789148</v>
      </c>
      <c r="Y300" s="98">
        <f t="shared" si="69"/>
        <v>1052.9221852311496</v>
      </c>
      <c r="Z300" s="97">
        <f t="shared" si="70"/>
        <v>5382.175215820637</v>
      </c>
      <c r="AA300" s="98">
        <f t="shared" si="71"/>
        <v>1050.525022180812</v>
      </c>
      <c r="AB300" s="98">
        <f t="shared" si="72"/>
        <v>5372.050777435964</v>
      </c>
      <c r="AC300" s="91"/>
      <c r="AD300" s="92">
        <f t="shared" si="73"/>
        <v>1050.5133242421466</v>
      </c>
    </row>
    <row r="301" spans="1:30" ht="11.25">
      <c r="A301" s="15"/>
      <c r="B301" s="93">
        <f>IF(C301&gt;$K$1,0,'Ranges and Data'!$A$10)</f>
        <v>535.2234266961229</v>
      </c>
      <c r="C301" s="94">
        <f t="shared" si="74"/>
        <v>39958.66666666616</v>
      </c>
      <c r="D301" s="85">
        <f t="shared" si="66"/>
        <v>5.666666666668049</v>
      </c>
      <c r="E301" s="15"/>
      <c r="F301" s="21"/>
      <c r="G301" s="21"/>
      <c r="H301" s="21"/>
      <c r="I301" s="21"/>
      <c r="J301" s="21"/>
      <c r="K301" s="21"/>
      <c r="L301" s="21"/>
      <c r="M301" s="15"/>
      <c r="N301" s="42"/>
      <c r="O301" s="86">
        <f t="shared" si="78"/>
        <v>10.53655096391664</v>
      </c>
      <c r="P301" s="86">
        <f t="shared" si="78"/>
        <v>70.91814070412914</v>
      </c>
      <c r="Q301" s="86">
        <f t="shared" si="78"/>
        <v>294.6067327534181</v>
      </c>
      <c r="R301" s="86">
        <f t="shared" si="78"/>
        <v>918.5306728514753</v>
      </c>
      <c r="S301" s="86">
        <f t="shared" si="78"/>
        <v>2367.086402233742</v>
      </c>
      <c r="T301" s="86">
        <f t="shared" si="78"/>
        <v>5325.808938233689</v>
      </c>
      <c r="U301" s="87">
        <f t="shared" si="78"/>
        <v>10824.611925569652</v>
      </c>
      <c r="V301" s="15"/>
      <c r="W301" s="96">
        <f t="shared" si="67"/>
        <v>1075.201534347685</v>
      </c>
      <c r="X301" s="97">
        <f t="shared" si="68"/>
        <v>5387.098757416771</v>
      </c>
      <c r="Y301" s="98">
        <f t="shared" si="69"/>
        <v>1042.6472905798819</v>
      </c>
      <c r="Z301" s="97">
        <f t="shared" si="70"/>
        <v>5252.4121416111575</v>
      </c>
      <c r="AA301" s="98">
        <f t="shared" si="71"/>
        <v>1040.3078839856412</v>
      </c>
      <c r="AB301" s="98">
        <f t="shared" si="72"/>
        <v>5242.70498026266</v>
      </c>
      <c r="AC301" s="91"/>
      <c r="AD301" s="92">
        <f t="shared" si="73"/>
        <v>1040.2964677037053</v>
      </c>
    </row>
    <row r="302" spans="1:30" ht="11.25">
      <c r="A302" s="15"/>
      <c r="B302" s="93">
        <f>IF(C302&gt;$K$1,0,'Ranges and Data'!$A$10)</f>
        <v>535.2234266961229</v>
      </c>
      <c r="C302" s="94">
        <f t="shared" si="74"/>
        <v>39989.08333333283</v>
      </c>
      <c r="D302" s="85">
        <f t="shared" si="66"/>
        <v>5.583333333334722</v>
      </c>
      <c r="E302" s="15"/>
      <c r="F302" s="21"/>
      <c r="G302" s="21"/>
      <c r="H302" s="21"/>
      <c r="I302" s="21"/>
      <c r="J302" s="21"/>
      <c r="K302" s="21"/>
      <c r="L302" s="21"/>
      <c r="M302" s="15"/>
      <c r="N302" s="42"/>
      <c r="O302" s="86">
        <f t="shared" si="78"/>
        <v>11.163086888105488</v>
      </c>
      <c r="P302" s="86">
        <f t="shared" si="78"/>
        <v>73.05767341827664</v>
      </c>
      <c r="Q302" s="86">
        <f t="shared" si="78"/>
        <v>297.2047813256424</v>
      </c>
      <c r="R302" s="86">
        <f t="shared" si="78"/>
        <v>911.2641247528744</v>
      </c>
      <c r="S302" s="86">
        <f t="shared" si="78"/>
        <v>2315.894819613586</v>
      </c>
      <c r="T302" s="86">
        <f t="shared" si="78"/>
        <v>5148.862694828406</v>
      </c>
      <c r="U302" s="87">
        <f t="shared" si="78"/>
        <v>10356.38670650346</v>
      </c>
      <c r="V302" s="15"/>
      <c r="W302" s="96">
        <f t="shared" si="67"/>
        <v>1064.2279443565658</v>
      </c>
      <c r="X302" s="97">
        <f t="shared" si="68"/>
        <v>5253.704116704071</v>
      </c>
      <c r="Y302" s="98">
        <f t="shared" si="69"/>
        <v>1032.4726630343655</v>
      </c>
      <c r="Z302" s="97">
        <f t="shared" si="70"/>
        <v>5124.669110983767</v>
      </c>
      <c r="AA302" s="98">
        <f t="shared" si="71"/>
        <v>1030.1901150683982</v>
      </c>
      <c r="AB302" s="98">
        <f t="shared" si="72"/>
        <v>5115.367008622386</v>
      </c>
      <c r="AC302" s="91"/>
      <c r="AD302" s="92">
        <f t="shared" si="73"/>
        <v>1030.1789760710851</v>
      </c>
    </row>
    <row r="303" spans="1:30" ht="11.25">
      <c r="A303" s="15"/>
      <c r="B303" s="93">
        <f>IF(C303&gt;$K$1,0,'Ranges and Data'!$A$10)</f>
        <v>535.2234266961229</v>
      </c>
      <c r="C303" s="94">
        <f t="shared" si="74"/>
        <v>40019.49999999949</v>
      </c>
      <c r="D303" s="85">
        <f t="shared" si="66"/>
        <v>5.500000000001395</v>
      </c>
      <c r="E303" s="15"/>
      <c r="F303" s="21"/>
      <c r="G303" s="21"/>
      <c r="H303" s="21"/>
      <c r="I303" s="21"/>
      <c r="J303" s="21"/>
      <c r="K303" s="21"/>
      <c r="L303" s="21"/>
      <c r="M303" s="15"/>
      <c r="N303" s="42"/>
      <c r="O303" s="86">
        <f t="shared" si="78"/>
        <v>11.826878577073865</v>
      </c>
      <c r="P303" s="86">
        <f t="shared" si="78"/>
        <v>75.26175379525704</v>
      </c>
      <c r="Q303" s="86">
        <f t="shared" si="78"/>
        <v>299.82574131038103</v>
      </c>
      <c r="R303" s="86">
        <f t="shared" si="78"/>
        <v>904.0550627272266</v>
      </c>
      <c r="S303" s="86">
        <f t="shared" si="78"/>
        <v>2265.8103271818936</v>
      </c>
      <c r="T303" s="86">
        <f t="shared" si="78"/>
        <v>4977.79536548451</v>
      </c>
      <c r="U303" s="87">
        <f t="shared" si="78"/>
        <v>9908.41485608245</v>
      </c>
      <c r="V303" s="15"/>
      <c r="W303" s="96">
        <f t="shared" si="67"/>
        <v>1053.3663516733434</v>
      </c>
      <c r="X303" s="97">
        <f t="shared" si="68"/>
        <v>5122.471206193509</v>
      </c>
      <c r="Y303" s="98">
        <f t="shared" si="69"/>
        <v>1022.3973241424767</v>
      </c>
      <c r="Z303" s="97">
        <f t="shared" si="70"/>
        <v>4998.919055934289</v>
      </c>
      <c r="AA303" s="98">
        <f t="shared" si="71"/>
        <v>1020.1707489888521</v>
      </c>
      <c r="AB303" s="98">
        <f t="shared" si="72"/>
        <v>4990.010042151209</v>
      </c>
      <c r="AC303" s="91"/>
      <c r="AD303" s="92">
        <f t="shared" si="73"/>
        <v>1020.1598829624571</v>
      </c>
    </row>
    <row r="304" spans="1:30" ht="11.25">
      <c r="A304" s="15"/>
      <c r="B304" s="93">
        <f>IF(C304&gt;$K$1,0,'Ranges and Data'!$A$10)</f>
        <v>535.2234266961229</v>
      </c>
      <c r="C304" s="94">
        <f t="shared" si="74"/>
        <v>40049.916666666155</v>
      </c>
      <c r="D304" s="85">
        <f t="shared" si="66"/>
        <v>5.4166666666680685</v>
      </c>
      <c r="E304" s="15"/>
      <c r="F304" s="21"/>
      <c r="G304" s="21"/>
      <c r="H304" s="21"/>
      <c r="I304" s="21"/>
      <c r="J304" s="21"/>
      <c r="K304" s="21"/>
      <c r="L304" s="21"/>
      <c r="M304" s="15"/>
      <c r="N304" s="42"/>
      <c r="O304" s="86">
        <f t="shared" si="78"/>
        <v>12.530141373878276</v>
      </c>
      <c r="P304" s="86">
        <f t="shared" si="78"/>
        <v>77.53232917653871</v>
      </c>
      <c r="Q304" s="86">
        <f t="shared" si="78"/>
        <v>302.46981475652154</v>
      </c>
      <c r="R304" s="86">
        <f t="shared" si="78"/>
        <v>896.903031998958</v>
      </c>
      <c r="S304" s="86">
        <f t="shared" si="78"/>
        <v>2216.8089825516017</v>
      </c>
      <c r="T304" s="86">
        <f t="shared" si="78"/>
        <v>4812.41162743122</v>
      </c>
      <c r="U304" s="87">
        <f t="shared" si="78"/>
        <v>9479.820302440403</v>
      </c>
      <c r="V304" s="15"/>
      <c r="W304" s="96">
        <f t="shared" si="67"/>
        <v>1042.6156132448334</v>
      </c>
      <c r="X304" s="97">
        <f t="shared" si="68"/>
        <v>4993.369795235169</v>
      </c>
      <c r="Y304" s="98">
        <f t="shared" si="69"/>
        <v>1012.420305000273</v>
      </c>
      <c r="Z304" s="97">
        <f t="shared" si="70"/>
        <v>4875.135244378769</v>
      </c>
      <c r="AA304" s="98">
        <f t="shared" si="71"/>
        <v>1010.2488287061233</v>
      </c>
      <c r="AB304" s="98">
        <f t="shared" si="72"/>
        <v>4866.6075922607815</v>
      </c>
      <c r="AC304" s="91"/>
      <c r="AD304" s="92">
        <f t="shared" si="73"/>
        <v>1010.2382313946205</v>
      </c>
    </row>
    <row r="305" spans="1:30" ht="11.25">
      <c r="A305" s="15"/>
      <c r="B305" s="93">
        <f>IF(C305&gt;$K$1,0,'Ranges and Data'!$A$10)</f>
        <v>535.2234266961229</v>
      </c>
      <c r="C305" s="94">
        <f t="shared" si="74"/>
        <v>40080.33333333282</v>
      </c>
      <c r="D305" s="85">
        <f t="shared" si="66"/>
        <v>5.333333333334742</v>
      </c>
      <c r="E305" s="15"/>
      <c r="F305" s="21"/>
      <c r="G305" s="21"/>
      <c r="H305" s="21"/>
      <c r="I305" s="21"/>
      <c r="J305" s="21"/>
      <c r="K305" s="21"/>
      <c r="L305" s="21"/>
      <c r="M305" s="15"/>
      <c r="N305" s="42"/>
      <c r="O305" s="86">
        <f t="shared" si="78"/>
        <v>13.275222352728447</v>
      </c>
      <c r="P305" s="86">
        <f t="shared" si="78"/>
        <v>79.87140565302614</v>
      </c>
      <c r="Q305" s="86">
        <f t="shared" si="78"/>
        <v>305.1372054947599</v>
      </c>
      <c r="R305" s="86">
        <f t="shared" si="78"/>
        <v>889.8075813902494</v>
      </c>
      <c r="S305" s="86">
        <f t="shared" si="78"/>
        <v>2168.8673611235445</v>
      </c>
      <c r="T305" s="86">
        <f t="shared" si="78"/>
        <v>4652.522647358971</v>
      </c>
      <c r="U305" s="87">
        <f t="shared" si="78"/>
        <v>9069.764868736278</v>
      </c>
      <c r="V305" s="15"/>
      <c r="W305" s="96">
        <f t="shared" si="67"/>
        <v>1031.974597683942</v>
      </c>
      <c r="X305" s="97">
        <f t="shared" si="68"/>
        <v>4866.370045077345</v>
      </c>
      <c r="Y305" s="98">
        <f t="shared" si="69"/>
        <v>1002.5406461588188</v>
      </c>
      <c r="Z305" s="97">
        <f t="shared" si="70"/>
        <v>4753.291276174978</v>
      </c>
      <c r="AA305" s="98">
        <f t="shared" si="71"/>
        <v>1000.4234064872669</v>
      </c>
      <c r="AB305" s="98">
        <f t="shared" si="72"/>
        <v>4745.133498221754</v>
      </c>
      <c r="AC305" s="91"/>
      <c r="AD305" s="92">
        <f t="shared" si="73"/>
        <v>1000.4130736915962</v>
      </c>
    </row>
    <row r="306" spans="1:30" ht="11.25">
      <c r="A306" s="15"/>
      <c r="B306" s="93">
        <f>IF(C306&gt;$K$1,0,'Ranges and Data'!$A$10)</f>
        <v>535.2234266961229</v>
      </c>
      <c r="C306" s="94">
        <f t="shared" si="74"/>
        <v>40110.74999999948</v>
      </c>
      <c r="D306" s="85">
        <f t="shared" si="66"/>
        <v>5.250000000001416</v>
      </c>
      <c r="E306" s="15"/>
      <c r="F306" s="21"/>
      <c r="G306" s="21"/>
      <c r="H306" s="21"/>
      <c r="I306" s="21"/>
      <c r="J306" s="21"/>
      <c r="K306" s="21"/>
      <c r="L306" s="21"/>
      <c r="M306" s="15"/>
      <c r="N306" s="42"/>
      <c r="O306" s="86">
        <f t="shared" si="78"/>
        <v>14.064608152129297</v>
      </c>
      <c r="P306" s="86">
        <f t="shared" si="78"/>
        <v>82.28104983747447</v>
      </c>
      <c r="Q306" s="86">
        <f t="shared" si="78"/>
        <v>307.82811915331393</v>
      </c>
      <c r="R306" s="86">
        <f t="shared" si="78"/>
        <v>882.7682632925756</v>
      </c>
      <c r="S306" s="86">
        <f t="shared" si="78"/>
        <v>2121.9625448885563</v>
      </c>
      <c r="T306" s="86">
        <f t="shared" si="78"/>
        <v>4497.94586581164</v>
      </c>
      <c r="U306" s="87">
        <f t="shared" si="78"/>
        <v>8677.446633981703</v>
      </c>
      <c r="V306" s="15"/>
      <c r="W306" s="96">
        <f t="shared" si="67"/>
        <v>1021.4421851505986</v>
      </c>
      <c r="X306" s="97">
        <f t="shared" si="68"/>
        <v>4741.442504015993</v>
      </c>
      <c r="Y306" s="98">
        <f t="shared" si="69"/>
        <v>992.7573975319184</v>
      </c>
      <c r="Z306" s="97">
        <f t="shared" si="70"/>
        <v>4633.361079189551</v>
      </c>
      <c r="AA306" s="98">
        <f t="shared" si="71"/>
        <v>990.6935438167473</v>
      </c>
      <c r="AB306" s="98">
        <f t="shared" si="72"/>
        <v>4625.561923291992</v>
      </c>
      <c r="AC306" s="91"/>
      <c r="AD306" s="92">
        <f t="shared" si="73"/>
        <v>990.6834713941083</v>
      </c>
    </row>
    <row r="307" spans="1:30" ht="11.25">
      <c r="A307" s="15"/>
      <c r="B307" s="93">
        <f>IF(C307&gt;$K$1,0,'Ranges and Data'!$A$10)</f>
        <v>535.2234266961229</v>
      </c>
      <c r="C307" s="94">
        <f t="shared" si="74"/>
        <v>40141.16666666615</v>
      </c>
      <c r="D307" s="85">
        <f t="shared" si="66"/>
        <v>5.166666666668089</v>
      </c>
      <c r="E307" s="15"/>
      <c r="F307" s="21"/>
      <c r="G307" s="21"/>
      <c r="H307" s="21"/>
      <c r="I307" s="21"/>
      <c r="J307" s="21"/>
      <c r="K307" s="21"/>
      <c r="L307" s="21"/>
      <c r="M307" s="15"/>
      <c r="N307" s="42"/>
      <c r="O307" s="86">
        <f t="shared" si="78"/>
        <v>14.900933273805805</v>
      </c>
      <c r="P307" s="86">
        <f t="shared" si="78"/>
        <v>84.76339069037594</v>
      </c>
      <c r="Q307" s="86">
        <f t="shared" si="78"/>
        <v>310.54276317377537</v>
      </c>
      <c r="R307" s="86">
        <f t="shared" si="78"/>
        <v>875.7846336384671</v>
      </c>
      <c r="S307" s="86">
        <f t="shared" si="78"/>
        <v>2076.072111471749</v>
      </c>
      <c r="T307" s="86">
        <f t="shared" si="78"/>
        <v>4348.5047887422015</v>
      </c>
      <c r="U307" s="87">
        <f t="shared" si="78"/>
        <v>8302.098364771815</v>
      </c>
      <c r="V307" s="15"/>
      <c r="W307" s="96">
        <f t="shared" si="67"/>
        <v>1011.017267233907</v>
      </c>
      <c r="X307" s="97">
        <f t="shared" si="68"/>
        <v>4618.558102602379</v>
      </c>
      <c r="Y307" s="98">
        <f t="shared" si="69"/>
        <v>983.0696183047498</v>
      </c>
      <c r="Z307" s="97">
        <f t="shared" si="70"/>
        <v>4515.31890541029</v>
      </c>
      <c r="AA307" s="98">
        <f t="shared" si="71"/>
        <v>981.058311306791</v>
      </c>
      <c r="AB307" s="98">
        <f t="shared" si="72"/>
        <v>4507.86735088908</v>
      </c>
      <c r="AC307" s="91"/>
      <c r="AD307" s="92">
        <f t="shared" si="73"/>
        <v>981.0484951699464</v>
      </c>
    </row>
    <row r="308" spans="1:30" ht="11.25">
      <c r="A308" s="15"/>
      <c r="B308" s="93">
        <f>IF(C308&gt;$K$1,0,'Ranges and Data'!$A$10)</f>
        <v>535.2234266961229</v>
      </c>
      <c r="C308" s="94">
        <f t="shared" si="74"/>
        <v>40171.58333333281</v>
      </c>
      <c r="D308" s="85">
        <f t="shared" si="66"/>
        <v>5.083333333334762</v>
      </c>
      <c r="E308" s="15"/>
      <c r="F308" s="21"/>
      <c r="G308" s="21"/>
      <c r="H308" s="21"/>
      <c r="I308" s="21"/>
      <c r="J308" s="21"/>
      <c r="K308" s="21"/>
      <c r="L308" s="21"/>
      <c r="M308" s="15"/>
      <c r="N308" s="42"/>
      <c r="O308" s="86">
        <f t="shared" si="78"/>
        <v>15.786988875107614</v>
      </c>
      <c r="P308" s="86">
        <f t="shared" si="78"/>
        <v>87.32062140093184</v>
      </c>
      <c r="Q308" s="86">
        <f t="shared" si="78"/>
        <v>313.2813468271011</v>
      </c>
      <c r="R308" s="86">
        <f t="shared" si="78"/>
        <v>868.8562518734974</v>
      </c>
      <c r="S308" s="86">
        <f t="shared" si="78"/>
        <v>2031.1741234137228</v>
      </c>
      <c r="T308" s="86">
        <f t="shared" si="78"/>
        <v>4204.02878599378</v>
      </c>
      <c r="U308" s="87">
        <f t="shared" si="78"/>
        <v>7942.98601485265</v>
      </c>
      <c r="V308" s="15"/>
      <c r="W308" s="96">
        <f t="shared" si="67"/>
        <v>1000.6987468354985</v>
      </c>
      <c r="X308" s="97">
        <f t="shared" si="68"/>
        <v>4497.688148908235</v>
      </c>
      <c r="Y308" s="98">
        <f t="shared" si="69"/>
        <v>973.4763768433916</v>
      </c>
      <c r="Z308" s="97">
        <f t="shared" si="70"/>
        <v>4399.139327103112</v>
      </c>
      <c r="AA308" s="98">
        <f t="shared" si="71"/>
        <v>971.5167886086127</v>
      </c>
      <c r="AB308" s="98">
        <f t="shared" si="72"/>
        <v>4392.0245808066475</v>
      </c>
      <c r="AC308" s="91"/>
      <c r="AD308" s="92">
        <f t="shared" si="73"/>
        <v>971.5072247251989</v>
      </c>
    </row>
    <row r="309" spans="1:30" ht="11.25">
      <c r="A309" s="15"/>
      <c r="B309" s="93">
        <f>IF(C309&gt;$K$1,0,'Ranges and Data'!$A$10)</f>
        <v>535.2234266961229</v>
      </c>
      <c r="C309" s="94">
        <f t="shared" si="74"/>
        <v>40201.999999999476</v>
      </c>
      <c r="D309" s="85">
        <f t="shared" si="66"/>
        <v>5.000000000001435</v>
      </c>
      <c r="E309" s="15"/>
      <c r="F309" s="21"/>
      <c r="G309" s="21"/>
      <c r="H309" s="21"/>
      <c r="I309" s="21"/>
      <c r="J309" s="21"/>
      <c r="K309" s="21"/>
      <c r="L309" s="21"/>
      <c r="M309" s="15"/>
      <c r="N309" s="42"/>
      <c r="O309" s="86">
        <f aca="true" t="shared" si="79" ref="O309:U318">$B309*O$7^$D309</f>
        <v>16.725732084237205</v>
      </c>
      <c r="P309" s="86">
        <f t="shared" si="79"/>
        <v>89.95500132477129</v>
      </c>
      <c r="Q309" s="86">
        <f t="shared" si="79"/>
        <v>316.0440812297458</v>
      </c>
      <c r="R309" s="86">
        <f t="shared" si="79"/>
        <v>861.9826809284912</v>
      </c>
      <c r="S309" s="86">
        <f t="shared" si="79"/>
        <v>1987.2471176835843</v>
      </c>
      <c r="T309" s="86">
        <f t="shared" si="79"/>
        <v>4064.352896476049</v>
      </c>
      <c r="U309" s="87">
        <f t="shared" si="79"/>
        <v>7599.4072895905565</v>
      </c>
      <c r="V309" s="15"/>
      <c r="W309" s="96">
        <f t="shared" si="67"/>
        <v>990.4855380540752</v>
      </c>
      <c r="X309" s="97">
        <f t="shared" si="68"/>
        <v>4378.804323847743</v>
      </c>
      <c r="Y309" s="98">
        <f t="shared" si="69"/>
        <v>963.9767506052304</v>
      </c>
      <c r="Z309" s="97">
        <f t="shared" si="70"/>
        <v>4284.7972330131115</v>
      </c>
      <c r="AA309" s="98">
        <f t="shared" si="71"/>
        <v>962.0680643245049</v>
      </c>
      <c r="AB309" s="98">
        <f t="shared" si="72"/>
        <v>4278.008725473995</v>
      </c>
      <c r="AC309" s="91"/>
      <c r="AD309" s="92">
        <f t="shared" si="73"/>
        <v>962.0587487163514</v>
      </c>
    </row>
    <row r="310" spans="1:30" ht="11.25">
      <c r="A310" s="15"/>
      <c r="B310" s="93">
        <f>IF(C310&gt;$K$1,0,'Ranges and Data'!$A$10)</f>
        <v>535.2234266961229</v>
      </c>
      <c r="C310" s="94">
        <f t="shared" si="74"/>
        <v>40232.41666666614</v>
      </c>
      <c r="D310" s="85">
        <f t="shared" si="66"/>
        <v>4.9166666666681085</v>
      </c>
      <c r="E310" s="15"/>
      <c r="F310" s="21"/>
      <c r="G310" s="21"/>
      <c r="H310" s="21"/>
      <c r="I310" s="21"/>
      <c r="J310" s="21"/>
      <c r="K310" s="21"/>
      <c r="L310" s="21"/>
      <c r="M310" s="15"/>
      <c r="N310" s="42"/>
      <c r="O310" s="86">
        <f t="shared" si="79"/>
        <v>17.72029586939041</v>
      </c>
      <c r="P310" s="86">
        <f t="shared" si="79"/>
        <v>92.66885798012946</v>
      </c>
      <c r="Q310" s="86">
        <f t="shared" si="79"/>
        <v>318.8311793599374</v>
      </c>
      <c r="R310" s="86">
        <f t="shared" si="79"/>
        <v>855.1634871919522</v>
      </c>
      <c r="S310" s="86">
        <f t="shared" si="79"/>
        <v>1944.270095418759</v>
      </c>
      <c r="T310" s="86">
        <f t="shared" si="79"/>
        <v>3929.3176398144888</v>
      </c>
      <c r="U310" s="87">
        <f t="shared" si="79"/>
        <v>7270.690272536434</v>
      </c>
      <c r="V310" s="15"/>
      <c r="W310" s="96">
        <f t="shared" si="67"/>
        <v>980.376566071132</v>
      </c>
      <c r="X310" s="97">
        <f t="shared" si="68"/>
        <v>4261.878676555684</v>
      </c>
      <c r="Y310" s="98">
        <f t="shared" si="69"/>
        <v>954.5698260502447</v>
      </c>
      <c r="Z310" s="97">
        <f t="shared" si="70"/>
        <v>4172.267824609296</v>
      </c>
      <c r="AA310" s="98">
        <f t="shared" si="71"/>
        <v>952.7112359207812</v>
      </c>
      <c r="AB310" s="98">
        <f t="shared" si="72"/>
        <v>4165.795206258555</v>
      </c>
      <c r="AC310" s="91"/>
      <c r="AD310" s="92">
        <f t="shared" si="73"/>
        <v>952.702164663238</v>
      </c>
    </row>
    <row r="311" spans="1:30" ht="11.25">
      <c r="A311" s="15"/>
      <c r="B311" s="93">
        <f>IF(C311&gt;$K$1,0,'Ranges and Data'!$A$10)</f>
        <v>535.2234266961229</v>
      </c>
      <c r="C311" s="94">
        <f t="shared" si="74"/>
        <v>40262.833333332805</v>
      </c>
      <c r="D311" s="85">
        <f t="shared" si="66"/>
        <v>4.833333333334782</v>
      </c>
      <c r="E311" s="15"/>
      <c r="F311" s="21"/>
      <c r="G311" s="21"/>
      <c r="H311" s="21"/>
      <c r="I311" s="21"/>
      <c r="J311" s="21"/>
      <c r="K311" s="21"/>
      <c r="L311" s="21"/>
      <c r="M311" s="15"/>
      <c r="N311" s="42"/>
      <c r="O311" s="86">
        <f t="shared" si="79"/>
        <v>18.773999494746523</v>
      </c>
      <c r="P311" s="86">
        <f t="shared" si="79"/>
        <v>95.46458910424832</v>
      </c>
      <c r="Q311" s="86">
        <f t="shared" si="79"/>
        <v>321.64285607409437</v>
      </c>
      <c r="R311" s="86">
        <f t="shared" si="79"/>
        <v>848.3982404827086</v>
      </c>
      <c r="S311" s="86">
        <f t="shared" si="79"/>
        <v>1902.2225118866988</v>
      </c>
      <c r="T311" s="86">
        <f t="shared" si="79"/>
        <v>3798.7688342574734</v>
      </c>
      <c r="U311" s="87">
        <f t="shared" si="79"/>
        <v>6956.192111398741</v>
      </c>
      <c r="V311" s="15"/>
      <c r="W311" s="96">
        <f t="shared" si="67"/>
        <v>970.3707670378437</v>
      </c>
      <c r="X311" s="97">
        <f t="shared" si="68"/>
        <v>4146.883619821087</v>
      </c>
      <c r="Y311" s="98">
        <f t="shared" si="69"/>
        <v>945.2546985531525</v>
      </c>
      <c r="Z311" s="97">
        <f t="shared" si="70"/>
        <v>4061.526612372453</v>
      </c>
      <c r="AA311" s="98">
        <f t="shared" si="71"/>
        <v>943.4454096415675</v>
      </c>
      <c r="AB311" s="98">
        <f t="shared" si="72"/>
        <v>4055.3597498107065</v>
      </c>
      <c r="AC311" s="91"/>
      <c r="AD311" s="92">
        <f t="shared" si="73"/>
        <v>943.4365788628403</v>
      </c>
    </row>
    <row r="312" spans="1:30" ht="11.25">
      <c r="A312" s="15"/>
      <c r="B312" s="93">
        <f>IF(C312&gt;$K$1,0,'Ranges and Data'!$A$10)</f>
        <v>535.2234266961229</v>
      </c>
      <c r="C312" s="94">
        <f t="shared" si="74"/>
        <v>40293.24999999947</v>
      </c>
      <c r="D312" s="85">
        <f t="shared" si="66"/>
        <v>4.750000000001455</v>
      </c>
      <c r="E312" s="15"/>
      <c r="F312" s="21"/>
      <c r="G312" s="21"/>
      <c r="H312" s="21"/>
      <c r="I312" s="21"/>
      <c r="J312" s="21"/>
      <c r="K312" s="21"/>
      <c r="L312" s="21"/>
      <c r="M312" s="15"/>
      <c r="N312" s="42"/>
      <c r="O312" s="86">
        <f t="shared" si="79"/>
        <v>19.8903595982039</v>
      </c>
      <c r="P312" s="86">
        <f t="shared" si="79"/>
        <v>98.34466477181716</v>
      </c>
      <c r="Q312" s="86">
        <f t="shared" si="79"/>
        <v>324.4793281233902</v>
      </c>
      <c r="R312" s="86">
        <f t="shared" si="79"/>
        <v>841.6865140227771</v>
      </c>
      <c r="S312" s="86">
        <f t="shared" si="79"/>
        <v>1861.084266663679</v>
      </c>
      <c r="T312" s="86">
        <f t="shared" si="79"/>
        <v>3672.557420633263</v>
      </c>
      <c r="U312" s="87">
        <f t="shared" si="79"/>
        <v>6655.297760855568</v>
      </c>
      <c r="V312" s="15"/>
      <c r="W312" s="96">
        <f t="shared" si="67"/>
        <v>960.4670879631097</v>
      </c>
      <c r="X312" s="97">
        <f t="shared" si="68"/>
        <v>4033.791925575746</v>
      </c>
      <c r="Y312" s="98">
        <f t="shared" si="69"/>
        <v>936.0304723164172</v>
      </c>
      <c r="Z312" s="97">
        <f t="shared" si="70"/>
        <v>3952.5494121257007</v>
      </c>
      <c r="AA312" s="98">
        <f t="shared" si="71"/>
        <v>934.269700423431</v>
      </c>
      <c r="AB312" s="98">
        <f t="shared" si="72"/>
        <v>3946.6783844504566</v>
      </c>
      <c r="AC312" s="91"/>
      <c r="AD312" s="92">
        <f t="shared" si="73"/>
        <v>934.2611063039243</v>
      </c>
    </row>
    <row r="313" spans="1:30" ht="11.25">
      <c r="A313" s="15"/>
      <c r="B313" s="93">
        <f>IF(C313&gt;$K$1,0,'Ranges and Data'!$A$10)</f>
        <v>535.2234266961229</v>
      </c>
      <c r="C313" s="94">
        <f t="shared" si="74"/>
        <v>40323.66666666613</v>
      </c>
      <c r="D313" s="85">
        <f t="shared" si="66"/>
        <v>4.666666666668129</v>
      </c>
      <c r="E313" s="15"/>
      <c r="F313" s="21"/>
      <c r="G313" s="21"/>
      <c r="H313" s="21"/>
      <c r="I313" s="21"/>
      <c r="J313" s="21"/>
      <c r="K313" s="21"/>
      <c r="L313" s="21"/>
      <c r="M313" s="15"/>
      <c r="N313" s="42"/>
      <c r="O313" s="86">
        <f t="shared" si="79"/>
        <v>21.073101927832116</v>
      </c>
      <c r="P313" s="86">
        <f t="shared" si="79"/>
        <v>101.31162957732451</v>
      </c>
      <c r="Q313" s="86">
        <f t="shared" si="79"/>
        <v>327.34081417046184</v>
      </c>
      <c r="R313" s="86">
        <f t="shared" si="79"/>
        <v>835.0278844104384</v>
      </c>
      <c r="S313" s="86">
        <f t="shared" si="79"/>
        <v>1820.835694025993</v>
      </c>
      <c r="T313" s="86">
        <f t="shared" si="79"/>
        <v>3550.5392921559082</v>
      </c>
      <c r="U313" s="87">
        <f t="shared" si="79"/>
        <v>6367.418779747124</v>
      </c>
      <c r="V313" s="15"/>
      <c r="W313" s="96">
        <f t="shared" si="67"/>
        <v>950.6644866027372</v>
      </c>
      <c r="X313" s="97">
        <f t="shared" si="68"/>
        <v>3922.5767204369267</v>
      </c>
      <c r="Y313" s="98">
        <f t="shared" si="69"/>
        <v>926.8962602841045</v>
      </c>
      <c r="Z313" s="97">
        <f t="shared" si="70"/>
        <v>3845.3123414072247</v>
      </c>
      <c r="AA313" s="98">
        <f t="shared" si="71"/>
        <v>925.1832318108405</v>
      </c>
      <c r="AB313" s="98">
        <f t="shared" si="72"/>
        <v>3839.7274365955445</v>
      </c>
      <c r="AC313" s="91"/>
      <c r="AD313" s="92">
        <f t="shared" si="73"/>
        <v>925.1748705825083</v>
      </c>
    </row>
    <row r="314" spans="1:30" ht="11.25">
      <c r="A314" s="15"/>
      <c r="B314" s="93">
        <f>IF(C314&gt;$K$1,0,'Ranges and Data'!$A$10)</f>
        <v>535.2234266961229</v>
      </c>
      <c r="C314" s="94">
        <f t="shared" si="74"/>
        <v>40354.0833333328</v>
      </c>
      <c r="D314" s="85">
        <f t="shared" si="66"/>
        <v>4.583333333334802</v>
      </c>
      <c r="E314" s="15"/>
      <c r="F314" s="21"/>
      <c r="G314" s="21"/>
      <c r="H314" s="21"/>
      <c r="I314" s="21"/>
      <c r="J314" s="21"/>
      <c r="K314" s="21"/>
      <c r="L314" s="21"/>
      <c r="M314" s="15"/>
      <c r="N314" s="42"/>
      <c r="O314" s="86">
        <f t="shared" si="79"/>
        <v>22.326173776209735</v>
      </c>
      <c r="P314" s="86">
        <f t="shared" si="79"/>
        <v>104.36810488324936</v>
      </c>
      <c r="Q314" s="86">
        <f t="shared" si="79"/>
        <v>330.2275348062665</v>
      </c>
      <c r="R314" s="86">
        <f t="shared" si="79"/>
        <v>828.4219315935285</v>
      </c>
      <c r="S314" s="86">
        <f t="shared" si="79"/>
        <v>1781.4575535489498</v>
      </c>
      <c r="T314" s="86">
        <f t="shared" si="79"/>
        <v>3432.575129885716</v>
      </c>
      <c r="U314" s="87">
        <f t="shared" si="79"/>
        <v>6091.992180296411</v>
      </c>
      <c r="V314" s="15"/>
      <c r="W314" s="96">
        <f t="shared" si="67"/>
        <v>940.9619313497581</v>
      </c>
      <c r="X314" s="97">
        <f t="shared" si="68"/>
        <v>3813.2114813036605</v>
      </c>
      <c r="Y314" s="98">
        <f t="shared" si="69"/>
        <v>917.8511840565744</v>
      </c>
      <c r="Z314" s="97">
        <f t="shared" si="70"/>
        <v>3739.7918158847206</v>
      </c>
      <c r="AA314" s="98">
        <f t="shared" si="71"/>
        <v>916.1851358724468</v>
      </c>
      <c r="AB314" s="98">
        <f t="shared" si="72"/>
        <v>3734.4835272304686</v>
      </c>
      <c r="AC314" s="91"/>
      <c r="AD314" s="92">
        <f t="shared" si="73"/>
        <v>916.1770038181515</v>
      </c>
    </row>
    <row r="315" spans="1:30" ht="11.25">
      <c r="A315" s="15"/>
      <c r="B315" s="93">
        <f>IF(C315&gt;$K$1,0,'Ranges and Data'!$A$10)</f>
        <v>535.2234266961229</v>
      </c>
      <c r="C315" s="94">
        <f t="shared" si="74"/>
        <v>40384.49999999946</v>
      </c>
      <c r="D315" s="85">
        <f t="shared" si="66"/>
        <v>4.500000000001475</v>
      </c>
      <c r="E315" s="15"/>
      <c r="F315" s="21"/>
      <c r="G315" s="21"/>
      <c r="H315" s="21"/>
      <c r="I315" s="21"/>
      <c r="J315" s="21"/>
      <c r="K315" s="21"/>
      <c r="L315" s="21"/>
      <c r="M315" s="15"/>
      <c r="N315" s="42"/>
      <c r="O315" s="86">
        <f t="shared" si="79"/>
        <v>23.65375715414641</v>
      </c>
      <c r="P315" s="86">
        <f t="shared" si="79"/>
        <v>107.5167911360784</v>
      </c>
      <c r="Q315" s="86">
        <f t="shared" si="79"/>
        <v>333.13971256708726</v>
      </c>
      <c r="R315" s="86">
        <f t="shared" si="79"/>
        <v>821.8682388429395</v>
      </c>
      <c r="S315" s="86">
        <f t="shared" si="79"/>
        <v>1742.9310209091857</v>
      </c>
      <c r="T315" s="86">
        <f t="shared" si="79"/>
        <v>3318.5302436564475</v>
      </c>
      <c r="U315" s="87">
        <f t="shared" si="79"/>
        <v>5828.479327107571</v>
      </c>
      <c r="V315" s="15"/>
      <c r="W315" s="96">
        <f t="shared" si="67"/>
        <v>931.3584011258653</v>
      </c>
      <c r="X315" s="97">
        <f t="shared" si="68"/>
        <v>3705.670031005984</v>
      </c>
      <c r="Y315" s="98">
        <f t="shared" si="69"/>
        <v>908.8943738060123</v>
      </c>
      <c r="Z315" s="97">
        <f t="shared" si="70"/>
        <v>3635.9645458111036</v>
      </c>
      <c r="AA315" s="98">
        <f t="shared" si="71"/>
        <v>907.2745531181799</v>
      </c>
      <c r="AB315" s="98">
        <f t="shared" si="72"/>
        <v>3630.9235684160217</v>
      </c>
      <c r="AC315" s="91"/>
      <c r="AD315" s="92">
        <f t="shared" si="73"/>
        <v>907.2666465710583</v>
      </c>
    </row>
    <row r="316" spans="1:30" ht="11.25">
      <c r="A316" s="15"/>
      <c r="B316" s="93">
        <f>IF(C316&gt;$K$1,0,'Ranges and Data'!$A$10)</f>
        <v>535.2234266961229</v>
      </c>
      <c r="C316" s="94">
        <f t="shared" si="74"/>
        <v>40414.916666666126</v>
      </c>
      <c r="D316" s="85">
        <f t="shared" si="66"/>
        <v>4.4166666666681484</v>
      </c>
      <c r="E316" s="15"/>
      <c r="F316" s="21"/>
      <c r="G316" s="21"/>
      <c r="H316" s="21"/>
      <c r="I316" s="21"/>
      <c r="J316" s="21"/>
      <c r="K316" s="21"/>
      <c r="L316" s="21"/>
      <c r="M316" s="15"/>
      <c r="N316" s="42"/>
      <c r="O316" s="86">
        <f t="shared" si="79"/>
        <v>25.060282747755164</v>
      </c>
      <c r="P316" s="86">
        <f t="shared" si="79"/>
        <v>110.76047025219499</v>
      </c>
      <c r="Q316" s="86">
        <f t="shared" si="79"/>
        <v>336.0775719516878</v>
      </c>
      <c r="R316" s="86">
        <f t="shared" si="79"/>
        <v>815.3663927263316</v>
      </c>
      <c r="S316" s="86">
        <f t="shared" si="79"/>
        <v>1705.237678885883</v>
      </c>
      <c r="T316" s="86">
        <f t="shared" si="79"/>
        <v>3208.274418287584</v>
      </c>
      <c r="U316" s="87">
        <f t="shared" si="79"/>
        <v>5576.3648837887085</v>
      </c>
      <c r="V316" s="15"/>
      <c r="W316" s="96">
        <f t="shared" si="67"/>
        <v>921.8528852739556</v>
      </c>
      <c r="X316" s="97">
        <f t="shared" si="68"/>
        <v>3599.926534006487</v>
      </c>
      <c r="Y316" s="98">
        <f t="shared" si="69"/>
        <v>900.0249681927792</v>
      </c>
      <c r="Z316" s="97">
        <f t="shared" si="70"/>
        <v>3533.807532520985</v>
      </c>
      <c r="AA316" s="98">
        <f t="shared" si="71"/>
        <v>898.450632417151</v>
      </c>
      <c r="AB316" s="98">
        <f t="shared" si="72"/>
        <v>3529.0247598388455</v>
      </c>
      <c r="AC316" s="91"/>
      <c r="AD316" s="92">
        <f t="shared" si="73"/>
        <v>898.4429477599879</v>
      </c>
    </row>
    <row r="317" spans="1:30" ht="11.25">
      <c r="A317" s="15"/>
      <c r="B317" s="93">
        <f>IF(C317&gt;$K$1,0,'Ranges and Data'!$A$10)</f>
        <v>535.2234266961229</v>
      </c>
      <c r="C317" s="94">
        <f t="shared" si="74"/>
        <v>40445.33333333279</v>
      </c>
      <c r="D317" s="85">
        <f t="shared" si="66"/>
        <v>4.333333333334822</v>
      </c>
      <c r="E317" s="15"/>
      <c r="F317" s="21"/>
      <c r="G317" s="21"/>
      <c r="H317" s="21"/>
      <c r="I317" s="21"/>
      <c r="J317" s="21"/>
      <c r="K317" s="21"/>
      <c r="L317" s="21"/>
      <c r="M317" s="15"/>
      <c r="N317" s="42"/>
      <c r="O317" s="86">
        <f t="shared" si="79"/>
        <v>26.550444705455423</v>
      </c>
      <c r="P317" s="86">
        <f t="shared" si="79"/>
        <v>114.1020080757484</v>
      </c>
      <c r="Q317" s="86">
        <f t="shared" si="79"/>
        <v>339.0413394386192</v>
      </c>
      <c r="R317" s="86">
        <f t="shared" si="79"/>
        <v>808.9159830820512</v>
      </c>
      <c r="S317" s="86">
        <f t="shared" si="79"/>
        <v>1668.3595085566074</v>
      </c>
      <c r="T317" s="86">
        <f t="shared" si="79"/>
        <v>3101.6817649060804</v>
      </c>
      <c r="U317" s="87">
        <f t="shared" si="79"/>
        <v>5335.155805139216</v>
      </c>
      <c r="V317" s="15"/>
      <c r="W317" s="96">
        <f t="shared" si="67"/>
        <v>912.4443834517702</v>
      </c>
      <c r="X317" s="97">
        <f t="shared" si="68"/>
        <v>3495.9554921535773</v>
      </c>
      <c r="Y317" s="98">
        <f t="shared" si="69"/>
        <v>891.2421142825814</v>
      </c>
      <c r="Z317" s="97">
        <f t="shared" si="70"/>
        <v>3433.298064967482</v>
      </c>
      <c r="AA317" s="98">
        <f t="shared" si="71"/>
        <v>889.7125309163523</v>
      </c>
      <c r="AB317" s="98">
        <f t="shared" si="72"/>
        <v>3428.7645854005614</v>
      </c>
      <c r="AC317" s="91"/>
      <c r="AD317" s="92">
        <f t="shared" si="73"/>
        <v>889.705064580962</v>
      </c>
    </row>
    <row r="318" spans="1:30" ht="11.25">
      <c r="A318" s="15"/>
      <c r="B318" s="93">
        <f>IF(C318&gt;$K$1,0,'Ranges and Data'!$A$10)</f>
        <v>535.2234266961229</v>
      </c>
      <c r="C318" s="94">
        <f t="shared" si="74"/>
        <v>40475.749999999454</v>
      </c>
      <c r="D318" s="85">
        <f t="shared" si="66"/>
        <v>4.250000000001495</v>
      </c>
      <c r="E318" s="15"/>
      <c r="F318" s="21"/>
      <c r="G318" s="21"/>
      <c r="H318" s="21"/>
      <c r="I318" s="21"/>
      <c r="J318" s="21"/>
      <c r="K318" s="21"/>
      <c r="L318" s="21"/>
      <c r="M318" s="15"/>
      <c r="N318" s="42"/>
      <c r="O318" s="86">
        <f t="shared" si="79"/>
        <v>28.12921630425705</v>
      </c>
      <c r="P318" s="86">
        <f t="shared" si="79"/>
        <v>117.5443569106745</v>
      </c>
      <c r="Q318" s="86">
        <f t="shared" si="79"/>
        <v>342.03124350367926</v>
      </c>
      <c r="R318" s="86">
        <f t="shared" si="79"/>
        <v>802.5166029932566</v>
      </c>
      <c r="S318" s="86">
        <f t="shared" si="79"/>
        <v>1632.2788806835385</v>
      </c>
      <c r="T318" s="86">
        <f t="shared" si="79"/>
        <v>2998.6305772078563</v>
      </c>
      <c r="U318" s="87">
        <f t="shared" si="79"/>
        <v>5104.380372930627</v>
      </c>
      <c r="V318" s="15"/>
      <c r="W318" s="96">
        <f t="shared" si="67"/>
        <v>903.1319055266212</v>
      </c>
      <c r="X318" s="97">
        <f t="shared" si="68"/>
        <v>3393.7317404858445</v>
      </c>
      <c r="Y318" s="98">
        <f t="shared" si="69"/>
        <v>882.5449674644466</v>
      </c>
      <c r="Z318" s="97">
        <f t="shared" si="70"/>
        <v>3334.413716298894</v>
      </c>
      <c r="AA318" s="98">
        <f t="shared" si="71"/>
        <v>881.05941396015</v>
      </c>
      <c r="AB318" s="98">
        <f t="shared" si="72"/>
        <v>3330.120809846063</v>
      </c>
      <c r="AC318" s="91"/>
      <c r="AD318" s="92">
        <f t="shared" si="73"/>
        <v>881.0521624267643</v>
      </c>
    </row>
    <row r="319" spans="1:30" ht="11.25">
      <c r="A319" s="15"/>
      <c r="B319" s="93">
        <f>IF(C319&gt;$K$1,0,'Ranges and Data'!$A$10)</f>
        <v>535.2234266961229</v>
      </c>
      <c r="C319" s="94">
        <f t="shared" si="74"/>
        <v>40506.16666666612</v>
      </c>
      <c r="D319" s="85">
        <f t="shared" si="66"/>
        <v>4.166666666668168</v>
      </c>
      <c r="E319" s="15"/>
      <c r="F319" s="21"/>
      <c r="G319" s="21"/>
      <c r="H319" s="21"/>
      <c r="I319" s="21"/>
      <c r="J319" s="21"/>
      <c r="K319" s="21"/>
      <c r="L319" s="21"/>
      <c r="M319" s="15"/>
      <c r="N319" s="42"/>
      <c r="O319" s="86">
        <f aca="true" t="shared" si="80" ref="O319:U328">$B319*O$7^$D319</f>
        <v>29.801866547609972</v>
      </c>
      <c r="P319" s="86">
        <f t="shared" si="80"/>
        <v>121.09055812910509</v>
      </c>
      <c r="Q319" s="86">
        <f t="shared" si="80"/>
        <v>345.0475146375253</v>
      </c>
      <c r="R319" s="86">
        <f t="shared" si="80"/>
        <v>796.1678487622488</v>
      </c>
      <c r="S319" s="86">
        <f t="shared" si="80"/>
        <v>1596.9785472859937</v>
      </c>
      <c r="T319" s="86">
        <f t="shared" si="80"/>
        <v>2899.0031924948935</v>
      </c>
      <c r="U319" s="87">
        <f t="shared" si="80"/>
        <v>4883.587273395392</v>
      </c>
      <c r="V319" s="15"/>
      <c r="W319" s="96">
        <f t="shared" si="67"/>
        <v>893.9144714711908</v>
      </c>
      <c r="X319" s="97">
        <f t="shared" si="68"/>
        <v>3293.2304430869176</v>
      </c>
      <c r="Y319" s="98">
        <f t="shared" si="69"/>
        <v>873.9326913695013</v>
      </c>
      <c r="Z319" s="97">
        <f t="shared" si="70"/>
        <v>3237.132340474811</v>
      </c>
      <c r="AA319" s="98">
        <f t="shared" si="71"/>
        <v>872.4904550105576</v>
      </c>
      <c r="AB319" s="98">
        <f t="shared" si="72"/>
        <v>3233.0714754304863</v>
      </c>
      <c r="AC319" s="91"/>
      <c r="AD319" s="92">
        <f t="shared" si="73"/>
        <v>872.4834148072218</v>
      </c>
    </row>
    <row r="320" spans="1:30" ht="11.25">
      <c r="A320" s="15"/>
      <c r="B320" s="93">
        <f>IF(C320&gt;$K$1,0,'Ranges and Data'!$A$10)</f>
        <v>535.2234266961229</v>
      </c>
      <c r="C320" s="94">
        <f t="shared" si="74"/>
        <v>40536.58333333278</v>
      </c>
      <c r="D320" s="85">
        <f t="shared" si="66"/>
        <v>4.083333333334842</v>
      </c>
      <c r="E320" s="15"/>
      <c r="F320" s="21"/>
      <c r="G320" s="21"/>
      <c r="H320" s="21"/>
      <c r="I320" s="21"/>
      <c r="J320" s="21"/>
      <c r="K320" s="21"/>
      <c r="L320" s="21"/>
      <c r="M320" s="15"/>
      <c r="N320" s="42"/>
      <c r="O320" s="86">
        <f t="shared" si="80"/>
        <v>31.57397775021348</v>
      </c>
      <c r="P320" s="86">
        <f t="shared" si="80"/>
        <v>124.74374485847049</v>
      </c>
      <c r="Q320" s="86">
        <f t="shared" si="80"/>
        <v>348.0903853634427</v>
      </c>
      <c r="R320" s="86">
        <f t="shared" si="80"/>
        <v>789.8693198850036</v>
      </c>
      <c r="S320" s="86">
        <f t="shared" si="80"/>
        <v>1562.4416333952042</v>
      </c>
      <c r="T320" s="86">
        <f t="shared" si="80"/>
        <v>2802.6858573292775</v>
      </c>
      <c r="U320" s="87">
        <f t="shared" si="80"/>
        <v>4672.344714619405</v>
      </c>
      <c r="V320" s="15"/>
      <c r="W320" s="96">
        <f t="shared" si="67"/>
        <v>884.7911112603964</v>
      </c>
      <c r="X320" s="97">
        <f t="shared" si="68"/>
        <v>3194.427088990233</v>
      </c>
      <c r="Y320" s="98">
        <f t="shared" si="69"/>
        <v>865.4044577905411</v>
      </c>
      <c r="Z320" s="97">
        <f t="shared" si="70"/>
        <v>3141.4320689211913</v>
      </c>
      <c r="AA320" s="98">
        <f t="shared" si="71"/>
        <v>864.004835568286</v>
      </c>
      <c r="AB320" s="98">
        <f t="shared" si="72"/>
        <v>3137.594898624462</v>
      </c>
      <c r="AC320" s="91"/>
      <c r="AD320" s="92">
        <f t="shared" si="73"/>
        <v>863.9980032702617</v>
      </c>
    </row>
    <row r="321" spans="1:30" ht="11.25">
      <c r="A321" s="15"/>
      <c r="B321" s="93">
        <f>IF(C321&gt;$K$1,0,'Ranges and Data'!$A$10)</f>
        <v>535.2234266961229</v>
      </c>
      <c r="C321" s="94">
        <f t="shared" si="74"/>
        <v>40566.99999999945</v>
      </c>
      <c r="D321" s="85">
        <f t="shared" si="66"/>
        <v>4.000000000001515</v>
      </c>
      <c r="E321" s="15"/>
      <c r="F321" s="21"/>
      <c r="G321" s="21"/>
      <c r="H321" s="21"/>
      <c r="I321" s="21"/>
      <c r="J321" s="21"/>
      <c r="K321" s="21"/>
      <c r="L321" s="21"/>
      <c r="M321" s="15"/>
      <c r="N321" s="42"/>
      <c r="O321" s="86">
        <f t="shared" si="80"/>
        <v>33.451464168472555</v>
      </c>
      <c r="P321" s="86">
        <f t="shared" si="80"/>
        <v>128.50714474966964</v>
      </c>
      <c r="Q321" s="86">
        <f t="shared" si="80"/>
        <v>351.16009025527023</v>
      </c>
      <c r="R321" s="86">
        <f t="shared" si="80"/>
        <v>783.6206190259071</v>
      </c>
      <c r="S321" s="86">
        <f t="shared" si="80"/>
        <v>1528.6516289874044</v>
      </c>
      <c r="T321" s="86">
        <f t="shared" si="80"/>
        <v>2709.568597650787</v>
      </c>
      <c r="U321" s="87">
        <f t="shared" si="80"/>
        <v>4470.239582112284</v>
      </c>
      <c r="V321" s="15"/>
      <c r="W321" s="96">
        <f t="shared" si="67"/>
        <v>875.760864769306</v>
      </c>
      <c r="X321" s="97">
        <f t="shared" si="68"/>
        <v>3097.297488133113</v>
      </c>
      <c r="Y321" s="98">
        <f t="shared" si="69"/>
        <v>856.9594466023844</v>
      </c>
      <c r="Z321" s="97">
        <f t="shared" si="70"/>
        <v>3047.2913072239876</v>
      </c>
      <c r="AA321" s="98">
        <f t="shared" si="71"/>
        <v>855.6017450945614</v>
      </c>
      <c r="AB321" s="98">
        <f t="shared" si="72"/>
        <v>3043.6696668572</v>
      </c>
      <c r="AC321" s="91"/>
      <c r="AD321" s="92">
        <f t="shared" si="73"/>
        <v>855.5951173237364</v>
      </c>
    </row>
    <row r="322" spans="1:30" ht="11.25">
      <c r="A322" s="15"/>
      <c r="B322" s="93">
        <f>IF(C322&gt;$K$1,0,'Ranges and Data'!$A$10)</f>
        <v>535.2234266961229</v>
      </c>
      <c r="C322" s="94">
        <f t="shared" si="74"/>
        <v>40597.41666666611</v>
      </c>
      <c r="D322" s="85">
        <f t="shared" si="66"/>
        <v>3.9166666666681884</v>
      </c>
      <c r="E322" s="15"/>
      <c r="F322" s="21"/>
      <c r="G322" s="21"/>
      <c r="H322" s="21"/>
      <c r="I322" s="21"/>
      <c r="J322" s="21"/>
      <c r="K322" s="21"/>
      <c r="L322" s="21"/>
      <c r="M322" s="15"/>
      <c r="N322" s="42"/>
      <c r="O322" s="86">
        <f t="shared" si="80"/>
        <v>35.44059173877885</v>
      </c>
      <c r="P322" s="86">
        <f t="shared" si="80"/>
        <v>132.3840828287526</v>
      </c>
      <c r="Q322" s="86">
        <f t="shared" si="80"/>
        <v>354.25686595548297</v>
      </c>
      <c r="R322" s="86">
        <f t="shared" si="80"/>
        <v>777.4213519926896</v>
      </c>
      <c r="S322" s="86">
        <f t="shared" si="80"/>
        <v>1495.5923810913844</v>
      </c>
      <c r="T322" s="86">
        <f t="shared" si="80"/>
        <v>2619.545093209744</v>
      </c>
      <c r="U322" s="87">
        <f t="shared" si="80"/>
        <v>4276.8766309039665</v>
      </c>
      <c r="V322" s="15"/>
      <c r="W322" s="96">
        <f t="shared" si="67"/>
        <v>866.8227816720968</v>
      </c>
      <c r="X322" s="97">
        <f t="shared" si="68"/>
        <v>3001.8177673595915</v>
      </c>
      <c r="Y322" s="98">
        <f t="shared" si="69"/>
        <v>848.5968456830058</v>
      </c>
      <c r="Z322" s="97">
        <f t="shared" si="70"/>
        <v>2954.6887318608838</v>
      </c>
      <c r="AA322" s="98">
        <f t="shared" si="71"/>
        <v>847.280380933703</v>
      </c>
      <c r="AB322" s="98">
        <f t="shared" si="72"/>
        <v>2951.274635296988</v>
      </c>
      <c r="AC322" s="91"/>
      <c r="AD322" s="92">
        <f t="shared" si="73"/>
        <v>847.2739543580086</v>
      </c>
    </row>
    <row r="323" spans="1:30" ht="11.25">
      <c r="A323" s="15"/>
      <c r="B323" s="93">
        <f>IF(C323&gt;$K$1,0,'Ranges and Data'!$A$10)</f>
        <v>535.2234266961229</v>
      </c>
      <c r="C323" s="94">
        <f t="shared" si="74"/>
        <v>40627.833333332776</v>
      </c>
      <c r="D323" s="85">
        <f t="shared" si="66"/>
        <v>3.8333333333348616</v>
      </c>
      <c r="E323" s="15"/>
      <c r="F323" s="21"/>
      <c r="G323" s="21"/>
      <c r="H323" s="21"/>
      <c r="I323" s="21"/>
      <c r="J323" s="21"/>
      <c r="K323" s="21"/>
      <c r="L323" s="21"/>
      <c r="M323" s="15"/>
      <c r="N323" s="42"/>
      <c r="O323" s="86">
        <f t="shared" si="80"/>
        <v>37.54799898949096</v>
      </c>
      <c r="P323" s="86">
        <f t="shared" si="80"/>
        <v>136.37798443463657</v>
      </c>
      <c r="Q323" s="86">
        <f t="shared" si="80"/>
        <v>357.3809511934352</v>
      </c>
      <c r="R323" s="86">
        <f t="shared" si="80"/>
        <v>771.2711277115592</v>
      </c>
      <c r="S323" s="86">
        <f t="shared" si="80"/>
        <v>1463.2480860667222</v>
      </c>
      <c r="T323" s="86">
        <f t="shared" si="80"/>
        <v>2532.512556171731</v>
      </c>
      <c r="U323" s="87">
        <f t="shared" si="80"/>
        <v>4091.8777125876677</v>
      </c>
      <c r="V323" s="15"/>
      <c r="W323" s="96">
        <f t="shared" si="67"/>
        <v>857.9759213420454</v>
      </c>
      <c r="X323" s="97">
        <f t="shared" si="68"/>
        <v>2907.9643664713985</v>
      </c>
      <c r="Y323" s="98">
        <f t="shared" si="69"/>
        <v>840.3158508354359</v>
      </c>
      <c r="Z323" s="97">
        <f t="shared" si="70"/>
        <v>2863.6032869706983</v>
      </c>
      <c r="AA323" s="98">
        <f t="shared" si="71"/>
        <v>839.0399482364543</v>
      </c>
      <c r="AB323" s="98">
        <f t="shared" si="72"/>
        <v>2860.3889236686864</v>
      </c>
      <c r="AC323" s="91"/>
      <c r="AD323" s="92">
        <f t="shared" si="73"/>
        <v>839.033719569289</v>
      </c>
    </row>
    <row r="324" spans="1:30" ht="11.25">
      <c r="A324" s="15"/>
      <c r="B324" s="93">
        <f>IF(C324&gt;$K$1,0,'Ranges and Data'!$A$10)</f>
        <v>535.2234266961229</v>
      </c>
      <c r="C324" s="94">
        <f t="shared" si="74"/>
        <v>40658.24999999944</v>
      </c>
      <c r="D324" s="85">
        <f t="shared" si="66"/>
        <v>3.7500000000015348</v>
      </c>
      <c r="E324" s="15"/>
      <c r="F324" s="21"/>
      <c r="G324" s="21"/>
      <c r="H324" s="21"/>
      <c r="I324" s="21"/>
      <c r="J324" s="21"/>
      <c r="K324" s="21"/>
      <c r="L324" s="21"/>
      <c r="M324" s="15"/>
      <c r="N324" s="42"/>
      <c r="O324" s="86">
        <f t="shared" si="80"/>
        <v>39.7807191964056</v>
      </c>
      <c r="P324" s="86">
        <f t="shared" si="80"/>
        <v>140.49237824544912</v>
      </c>
      <c r="Q324" s="86">
        <f t="shared" si="80"/>
        <v>360.5325868037639</v>
      </c>
      <c r="R324" s="86">
        <f t="shared" si="80"/>
        <v>765.1695582025303</v>
      </c>
      <c r="S324" s="86">
        <f t="shared" si="80"/>
        <v>1431.603282049014</v>
      </c>
      <c r="T324" s="86">
        <f t="shared" si="80"/>
        <v>2448.3716137555884</v>
      </c>
      <c r="U324" s="87">
        <f t="shared" si="80"/>
        <v>3914.8810357975585</v>
      </c>
      <c r="V324" s="15"/>
      <c r="W324" s="96">
        <f t="shared" si="67"/>
        <v>849.2193527525369</v>
      </c>
      <c r="X324" s="97">
        <f t="shared" si="68"/>
        <v>2815.71403432654</v>
      </c>
      <c r="Y324" s="98">
        <f t="shared" si="69"/>
        <v>832.1156657104269</v>
      </c>
      <c r="Z324" s="97">
        <f t="shared" si="70"/>
        <v>2774.014181160059</v>
      </c>
      <c r="AA324" s="98">
        <f t="shared" si="71"/>
        <v>830.8796598840601</v>
      </c>
      <c r="AB324" s="98">
        <f t="shared" si="72"/>
        <v>2770.9919131078036</v>
      </c>
      <c r="AC324" s="91"/>
      <c r="AD324" s="92">
        <f t="shared" si="73"/>
        <v>830.8736258837203</v>
      </c>
    </row>
    <row r="325" spans="1:30" ht="11.25">
      <c r="A325" s="15"/>
      <c r="B325" s="93">
        <f>IF(C325&gt;$K$1,0,'Ranges and Data'!$A$10)</f>
        <v>535.2234266961229</v>
      </c>
      <c r="C325" s="94">
        <f t="shared" si="74"/>
        <v>40688.666666666104</v>
      </c>
      <c r="D325" s="85">
        <f t="shared" si="66"/>
        <v>3.6666666666682084</v>
      </c>
      <c r="E325" s="15"/>
      <c r="F325" s="21"/>
      <c r="G325" s="21"/>
      <c r="H325" s="21"/>
      <c r="I325" s="21"/>
      <c r="J325" s="21"/>
      <c r="K325" s="21"/>
      <c r="L325" s="21"/>
      <c r="M325" s="15"/>
      <c r="N325" s="42"/>
      <c r="O325" s="86">
        <f t="shared" si="80"/>
        <v>42.14620385566189</v>
      </c>
      <c r="P325" s="86">
        <f t="shared" si="80"/>
        <v>144.73089939617375</v>
      </c>
      <c r="Q325" s="86">
        <f t="shared" si="80"/>
        <v>363.7120157449545</v>
      </c>
      <c r="R325" s="86">
        <f t="shared" si="80"/>
        <v>759.1162585549497</v>
      </c>
      <c r="S325" s="86">
        <f t="shared" si="80"/>
        <v>1400.6428415584855</v>
      </c>
      <c r="T325" s="86">
        <f t="shared" si="80"/>
        <v>2367.0261947706817</v>
      </c>
      <c r="U325" s="87">
        <f t="shared" si="80"/>
        <v>3745.5404586749364</v>
      </c>
      <c r="V325" s="15"/>
      <c r="W325" s="96">
        <f t="shared" si="67"/>
        <v>840.5521543790861</v>
      </c>
      <c r="X325" s="97">
        <f t="shared" si="68"/>
        <v>2725.0438249849203</v>
      </c>
      <c r="Y325" s="98">
        <f t="shared" si="69"/>
        <v>823.9955017298691</v>
      </c>
      <c r="Z325" s="97">
        <f t="shared" si="70"/>
        <v>2685.9008843468946</v>
      </c>
      <c r="AA325" s="98">
        <f t="shared" si="71"/>
        <v>822.7987364130809</v>
      </c>
      <c r="AB325" s="98">
        <f t="shared" si="72"/>
        <v>2683.0632430507308</v>
      </c>
      <c r="AC325" s="91"/>
      <c r="AD325" s="92">
        <f t="shared" si="73"/>
        <v>822.7928938821987</v>
      </c>
    </row>
    <row r="326" spans="1:30" ht="11.25">
      <c r="A326" s="15"/>
      <c r="B326" s="93">
        <f>IF(C326&gt;$K$1,0,'Ranges and Data'!$A$10)</f>
        <v>535.2234266961229</v>
      </c>
      <c r="C326" s="94">
        <f t="shared" si="74"/>
        <v>40719.08333333277</v>
      </c>
      <c r="D326" s="85">
        <f t="shared" si="66"/>
        <v>3.5833333333348816</v>
      </c>
      <c r="E326" s="15"/>
      <c r="F326" s="21"/>
      <c r="G326" s="21"/>
      <c r="H326" s="21"/>
      <c r="I326" s="21"/>
      <c r="J326" s="21"/>
      <c r="K326" s="21"/>
      <c r="L326" s="21"/>
      <c r="M326" s="15"/>
      <c r="N326" s="42"/>
      <c r="O326" s="86">
        <f t="shared" si="80"/>
        <v>44.65234755241702</v>
      </c>
      <c r="P326" s="86">
        <f t="shared" si="80"/>
        <v>149.09729269035205</v>
      </c>
      <c r="Q326" s="86">
        <f t="shared" si="80"/>
        <v>366.91948311807084</v>
      </c>
      <c r="R326" s="86">
        <f t="shared" si="80"/>
        <v>753.1108469032133</v>
      </c>
      <c r="S326" s="86">
        <f t="shared" si="80"/>
        <v>1370.3519642684516</v>
      </c>
      <c r="T326" s="86">
        <f t="shared" si="80"/>
        <v>2288.383419923884</v>
      </c>
      <c r="U326" s="87">
        <f t="shared" si="80"/>
        <v>3583.5248119392163</v>
      </c>
      <c r="V326" s="15"/>
      <c r="W326" s="96">
        <f t="shared" si="67"/>
        <v>831.9734141023583</v>
      </c>
      <c r="X326" s="97">
        <f t="shared" si="68"/>
        <v>2635.931093900447</v>
      </c>
      <c r="Y326" s="98">
        <f t="shared" si="69"/>
        <v>815.954578010958</v>
      </c>
      <c r="Z326" s="97">
        <f t="shared" si="70"/>
        <v>2599.2431246403657</v>
      </c>
      <c r="AA326" s="98">
        <f t="shared" si="71"/>
        <v>814.7964059409396</v>
      </c>
      <c r="AB326" s="98">
        <f t="shared" si="72"/>
        <v>2596.5828081607488</v>
      </c>
      <c r="AC326" s="91"/>
      <c r="AD326" s="92">
        <f t="shared" si="73"/>
        <v>814.790751725927</v>
      </c>
    </row>
    <row r="327" spans="1:30" ht="11.25">
      <c r="A327" s="15"/>
      <c r="B327" s="93">
        <f>IF(C327&gt;$K$1,0,'Ranges and Data'!$A$10)</f>
        <v>535.2234266961229</v>
      </c>
      <c r="C327" s="94">
        <f t="shared" si="74"/>
        <v>40749.49999999943</v>
      </c>
      <c r="D327" s="85">
        <f t="shared" si="66"/>
        <v>3.5000000000015548</v>
      </c>
      <c r="E327" s="15"/>
      <c r="F327" s="21"/>
      <c r="G327" s="21"/>
      <c r="H327" s="21"/>
      <c r="I327" s="21"/>
      <c r="J327" s="21"/>
      <c r="K327" s="21"/>
      <c r="L327" s="21"/>
      <c r="M327" s="15"/>
      <c r="N327" s="42"/>
      <c r="O327" s="86">
        <f t="shared" si="80"/>
        <v>47.307514308290216</v>
      </c>
      <c r="P327" s="86">
        <f t="shared" si="80"/>
        <v>153.59541590867912</v>
      </c>
      <c r="Q327" s="86">
        <f t="shared" si="80"/>
        <v>370.1552361856494</v>
      </c>
      <c r="R327" s="86">
        <f t="shared" si="80"/>
        <v>747.1529444026779</v>
      </c>
      <c r="S327" s="86">
        <f t="shared" si="80"/>
        <v>1340.7161699301705</v>
      </c>
      <c r="T327" s="86">
        <f t="shared" si="80"/>
        <v>2212.3534957710367</v>
      </c>
      <c r="U327" s="87">
        <f t="shared" si="80"/>
        <v>3428.5172512398926</v>
      </c>
      <c r="V327" s="15"/>
      <c r="W327" s="96">
        <f t="shared" si="67"/>
        <v>823.482229112179</v>
      </c>
      <c r="X327" s="97">
        <f t="shared" si="68"/>
        <v>2548.3534941590688</v>
      </c>
      <c r="Y327" s="98">
        <f t="shared" si="69"/>
        <v>807.992121291099</v>
      </c>
      <c r="Z327" s="97">
        <f t="shared" si="70"/>
        <v>2514.0208852567926</v>
      </c>
      <c r="AA327" s="98">
        <f t="shared" si="71"/>
        <v>806.8719040921924</v>
      </c>
      <c r="AB327" s="98">
        <f t="shared" si="72"/>
        <v>2511.5307552893955</v>
      </c>
      <c r="AC327" s="91"/>
      <c r="AD327" s="92">
        <f t="shared" si="73"/>
        <v>806.8664350826916</v>
      </c>
    </row>
    <row r="328" spans="1:30" ht="11.25">
      <c r="A328" s="15"/>
      <c r="B328" s="93">
        <f>IF(C328&gt;$K$1,0,'Ranges and Data'!$A$10)</f>
        <v>535.2234266961229</v>
      </c>
      <c r="C328" s="94">
        <f t="shared" si="74"/>
        <v>40779.9166666661</v>
      </c>
      <c r="D328" s="85">
        <f t="shared" si="66"/>
        <v>3.4166666666682284</v>
      </c>
      <c r="E328" s="15"/>
      <c r="F328" s="21"/>
      <c r="G328" s="21"/>
      <c r="H328" s="21"/>
      <c r="I328" s="21"/>
      <c r="J328" s="21"/>
      <c r="K328" s="21"/>
      <c r="L328" s="21"/>
      <c r="M328" s="15"/>
      <c r="N328" s="42"/>
      <c r="O328" s="86">
        <f t="shared" si="80"/>
        <v>50.12056549550755</v>
      </c>
      <c r="P328" s="86">
        <f t="shared" si="80"/>
        <v>158.22924321741692</v>
      </c>
      <c r="Q328" s="86">
        <f t="shared" si="80"/>
        <v>373.419524390761</v>
      </c>
      <c r="R328" s="86">
        <f t="shared" si="80"/>
        <v>741.2421752057616</v>
      </c>
      <c r="S328" s="86">
        <f t="shared" si="80"/>
        <v>1311.721291450707</v>
      </c>
      <c r="T328" s="86">
        <f t="shared" si="80"/>
        <v>2138.8496121917924</v>
      </c>
      <c r="U328" s="87">
        <f t="shared" si="80"/>
        <v>3280.214637522909</v>
      </c>
      <c r="V328" s="15"/>
      <c r="W328" s="96">
        <f t="shared" si="67"/>
        <v>815.077705812524</v>
      </c>
      <c r="X328" s="97">
        <f t="shared" si="68"/>
        <v>2462.2889727622132</v>
      </c>
      <c r="Y328" s="98">
        <f t="shared" si="69"/>
        <v>800.1073658535471</v>
      </c>
      <c r="Z328" s="97">
        <f t="shared" si="70"/>
        <v>2430.2144014711926</v>
      </c>
      <c r="AA328" s="98">
        <f t="shared" si="71"/>
        <v>799.0244739255156</v>
      </c>
      <c r="AB328" s="98">
        <f t="shared" si="72"/>
        <v>2427.8874804727907</v>
      </c>
      <c r="AC328" s="91"/>
      <c r="AD328" s="92">
        <f t="shared" si="73"/>
        <v>799.0191870538574</v>
      </c>
    </row>
    <row r="329" spans="1:30" ht="11.25">
      <c r="A329" s="15"/>
      <c r="B329" s="93">
        <f>IF(C329&gt;$K$1,0,'Ranges and Data'!$A$10)</f>
        <v>535.2234266961229</v>
      </c>
      <c r="C329" s="94">
        <f t="shared" si="74"/>
        <v>40810.33333333276</v>
      </c>
      <c r="D329" s="85">
        <f aca="true" t="shared" si="81" ref="D329:D372">IF(B329&lt;&gt;0,$K$1-C329,0)/365</f>
        <v>3.3333333333349016</v>
      </c>
      <c r="E329" s="15"/>
      <c r="F329" s="21"/>
      <c r="G329" s="21"/>
      <c r="H329" s="21"/>
      <c r="I329" s="21"/>
      <c r="J329" s="21"/>
      <c r="K329" s="21"/>
      <c r="L329" s="21"/>
      <c r="M329" s="15"/>
      <c r="N329" s="42"/>
      <c r="O329" s="86">
        <f aca="true" t="shared" si="82" ref="O329:U338">$B329*O$7^$D329</f>
        <v>53.100889410907904</v>
      </c>
      <c r="P329" s="86">
        <f t="shared" si="82"/>
        <v>163.00286867963595</v>
      </c>
      <c r="Q329" s="86">
        <f t="shared" si="82"/>
        <v>376.7125993762404</v>
      </c>
      <c r="R329" s="86">
        <f t="shared" si="82"/>
        <v>735.3781664382338</v>
      </c>
      <c r="S329" s="86">
        <f t="shared" si="82"/>
        <v>1283.3534681204942</v>
      </c>
      <c r="T329" s="86">
        <f t="shared" si="82"/>
        <v>2067.787843270787</v>
      </c>
      <c r="U329" s="87">
        <f t="shared" si="82"/>
        <v>3138.3269441996717</v>
      </c>
      <c r="V329" s="15"/>
      <c r="W329" s="96">
        <f aca="true" t="shared" si="83" ref="W329:W372">$B329*I$3^$D329</f>
        <v>806.7589597274795</v>
      </c>
      <c r="X329" s="97">
        <f aca="true" t="shared" si="84" ref="X329:X372">W329*$D329/I$3</f>
        <v>2377.715766955081</v>
      </c>
      <c r="Y329" s="98">
        <f aca="true" t="shared" si="85" ref="Y329:Y372">$B329*I$4^$D329</f>
        <v>792.2995534537696</v>
      </c>
      <c r="Z329" s="97">
        <f aca="true" t="shared" si="86" ref="Z329:Z372">Y329*$D329/I$4</f>
        <v>2347.8041576040187</v>
      </c>
      <c r="AA329" s="98">
        <f aca="true" t="shared" si="87" ref="AA329:AA372">$B329*I$5^$D329</f>
        <v>791.2533658614036</v>
      </c>
      <c r="AB329" s="98">
        <f aca="true" t="shared" si="88" ref="AB329:AB372">AA329*$D329/I$5</f>
        <v>2345.6336259625377</v>
      </c>
      <c r="AC329" s="91"/>
      <c r="AD329" s="92">
        <f aca="true" t="shared" si="89" ref="AD329:AD392">$B329*(1+$D$7)^$D329</f>
        <v>791.2482581020705</v>
      </c>
    </row>
    <row r="330" spans="1:30" ht="11.25">
      <c r="A330" s="15"/>
      <c r="B330" s="93">
        <f>IF(C330&gt;$K$1,0,'Ranges and Data'!$A$10)</f>
        <v>535.2234266961229</v>
      </c>
      <c r="C330" s="94">
        <f aca="true" t="shared" si="90" ref="C330:C372">C329+(365/12)</f>
        <v>40840.749999999425</v>
      </c>
      <c r="D330" s="85">
        <f t="shared" si="81"/>
        <v>3.2500000000015747</v>
      </c>
      <c r="E330" s="15"/>
      <c r="F330" s="21"/>
      <c r="G330" s="21"/>
      <c r="H330" s="21"/>
      <c r="I330" s="21"/>
      <c r="J330" s="21"/>
      <c r="K330" s="21"/>
      <c r="L330" s="21"/>
      <c r="M330" s="15"/>
      <c r="N330" s="42"/>
      <c r="O330" s="86">
        <f t="shared" si="82"/>
        <v>56.25843260851098</v>
      </c>
      <c r="P330" s="86">
        <f t="shared" si="82"/>
        <v>167.92050987238733</v>
      </c>
      <c r="Q330" s="86">
        <f t="shared" si="82"/>
        <v>380.0347150040849</v>
      </c>
      <c r="R330" s="86">
        <f t="shared" si="82"/>
        <v>729.5605481756934</v>
      </c>
      <c r="S330" s="86">
        <f t="shared" si="82"/>
        <v>1255.5991389873636</v>
      </c>
      <c r="T330" s="86">
        <f t="shared" si="82"/>
        <v>1999.087051471969</v>
      </c>
      <c r="U330" s="87">
        <f t="shared" si="82"/>
        <v>3002.5766899593204</v>
      </c>
      <c r="V330" s="15"/>
      <c r="W330" s="96">
        <f t="shared" si="83"/>
        <v>798.5251154081609</v>
      </c>
      <c r="X330" s="97">
        <f t="shared" si="84"/>
        <v>2294.612400599275</v>
      </c>
      <c r="Y330" s="98">
        <f t="shared" si="85"/>
        <v>784.5679332465301</v>
      </c>
      <c r="Z330" s="97">
        <f t="shared" si="86"/>
        <v>2266.77088404271</v>
      </c>
      <c r="AA330" s="98">
        <f t="shared" si="87"/>
        <v>783.5578376105701</v>
      </c>
      <c r="AB330" s="98">
        <f t="shared" si="88"/>
        <v>2264.750077290808</v>
      </c>
      <c r="AC330" s="91"/>
      <c r="AD330" s="92">
        <f t="shared" si="89"/>
        <v>783.5529059796667</v>
      </c>
    </row>
    <row r="331" spans="1:30" ht="11.25">
      <c r="A331" s="15"/>
      <c r="B331" s="93">
        <f>IF(C331&gt;$K$1,0,'Ranges and Data'!$A$10)</f>
        <v>535.2234266961229</v>
      </c>
      <c r="C331" s="94">
        <f t="shared" si="90"/>
        <v>40871.16666666609</v>
      </c>
      <c r="D331" s="85">
        <f t="shared" si="81"/>
        <v>3.166666666668248</v>
      </c>
      <c r="E331" s="15"/>
      <c r="F331" s="21"/>
      <c r="G331" s="21"/>
      <c r="H331" s="21"/>
      <c r="I331" s="21"/>
      <c r="J331" s="21"/>
      <c r="K331" s="21"/>
      <c r="L331" s="21"/>
      <c r="M331" s="15"/>
      <c r="N331" s="42"/>
      <c r="O331" s="86">
        <f t="shared" si="82"/>
        <v>59.60373309521664</v>
      </c>
      <c r="P331" s="86">
        <f t="shared" si="82"/>
        <v>172.98651161300234</v>
      </c>
      <c r="Q331" s="86">
        <f t="shared" si="82"/>
        <v>383.3861273750249</v>
      </c>
      <c r="R331" s="86">
        <f t="shared" si="82"/>
        <v>723.7889534202316</v>
      </c>
      <c r="S331" s="86">
        <f t="shared" si="82"/>
        <v>1228.4450363738672</v>
      </c>
      <c r="T331" s="86">
        <f t="shared" si="82"/>
        <v>1932.6687949966586</v>
      </c>
      <c r="U331" s="87">
        <f t="shared" si="82"/>
        <v>2872.698396115058</v>
      </c>
      <c r="V331" s="15"/>
      <c r="W331" s="96">
        <f t="shared" si="83"/>
        <v>790.3753063405832</v>
      </c>
      <c r="X331" s="97">
        <f t="shared" si="84"/>
        <v>2212.9576805892393</v>
      </c>
      <c r="Y331" s="98">
        <f t="shared" si="85"/>
        <v>776.9117617136819</v>
      </c>
      <c r="Z331" s="97">
        <f t="shared" si="86"/>
        <v>2187.09555429765</v>
      </c>
      <c r="AA331" s="98">
        <f t="shared" si="87"/>
        <v>775.9371541030445</v>
      </c>
      <c r="AB331" s="98">
        <f t="shared" si="88"/>
        <v>2185.2179603692216</v>
      </c>
      <c r="AC331" s="91"/>
      <c r="AD331" s="92">
        <f t="shared" si="89"/>
        <v>775.9323956577741</v>
      </c>
    </row>
    <row r="332" spans="1:30" ht="11.25">
      <c r="A332" s="15"/>
      <c r="B332" s="93">
        <f>IF(C332&gt;$K$1,0,'Ranges and Data'!$A$10)</f>
        <v>535.2234266961229</v>
      </c>
      <c r="C332" s="94">
        <f t="shared" si="90"/>
        <v>40901.583333332754</v>
      </c>
      <c r="D332" s="85">
        <f t="shared" si="81"/>
        <v>3.0833333333349215</v>
      </c>
      <c r="E332" s="15"/>
      <c r="F332" s="21"/>
      <c r="G332" s="21"/>
      <c r="H332" s="21"/>
      <c r="I332" s="21"/>
      <c r="J332" s="21"/>
      <c r="K332" s="21"/>
      <c r="L332" s="21"/>
      <c r="M332" s="15"/>
      <c r="N332" s="42"/>
      <c r="O332" s="86">
        <f t="shared" si="82"/>
        <v>63.14795550042346</v>
      </c>
      <c r="P332" s="86">
        <f t="shared" si="82"/>
        <v>178.20534979780996</v>
      </c>
      <c r="Q332" s="86">
        <f t="shared" si="82"/>
        <v>386.7670948482664</v>
      </c>
      <c r="R332" s="86">
        <f t="shared" si="82"/>
        <v>718.0630180772814</v>
      </c>
      <c r="S332" s="86">
        <f t="shared" si="82"/>
        <v>1201.8781795347975</v>
      </c>
      <c r="T332" s="86">
        <f t="shared" si="82"/>
        <v>1868.4572382195784</v>
      </c>
      <c r="U332" s="87">
        <f t="shared" si="82"/>
        <v>2748.4380674232953</v>
      </c>
      <c r="V332" s="15"/>
      <c r="W332" s="96">
        <f t="shared" si="83"/>
        <v>782.3086748544696</v>
      </c>
      <c r="X332" s="97">
        <f t="shared" si="84"/>
        <v>2132.7306933119867</v>
      </c>
      <c r="Y332" s="98">
        <f t="shared" si="85"/>
        <v>769.3303025926677</v>
      </c>
      <c r="Z332" s="97">
        <f t="shared" si="86"/>
        <v>2108.7593820921543</v>
      </c>
      <c r="AA332" s="98">
        <f t="shared" si="87"/>
        <v>768.390587417959</v>
      </c>
      <c r="AB332" s="98">
        <f t="shared" si="88"/>
        <v>2107.0186386211476</v>
      </c>
      <c r="AC332" s="91"/>
      <c r="AD332" s="92">
        <f t="shared" si="89"/>
        <v>768.3859992561069</v>
      </c>
    </row>
    <row r="333" spans="1:30" ht="11.25">
      <c r="A333" s="15"/>
      <c r="B333" s="93">
        <f>IF(C333&gt;$K$1,0,'Ranges and Data'!$A$10)</f>
        <v>535.2234266961229</v>
      </c>
      <c r="C333" s="94">
        <f t="shared" si="90"/>
        <v>40931.99999999942</v>
      </c>
      <c r="D333" s="85">
        <f t="shared" si="81"/>
        <v>3.0000000000015947</v>
      </c>
      <c r="E333" s="15"/>
      <c r="F333" s="21"/>
      <c r="G333" s="21"/>
      <c r="H333" s="21"/>
      <c r="I333" s="21"/>
      <c r="J333" s="21"/>
      <c r="K333" s="21"/>
      <c r="L333" s="21"/>
      <c r="M333" s="15"/>
      <c r="N333" s="42"/>
      <c r="O333" s="86">
        <f t="shared" si="82"/>
        <v>66.90292833694143</v>
      </c>
      <c r="P333" s="86">
        <f t="shared" si="82"/>
        <v>183.58163535666569</v>
      </c>
      <c r="Q333" s="86">
        <f t="shared" si="82"/>
        <v>390.1778780614081</v>
      </c>
      <c r="R333" s="86">
        <f t="shared" si="82"/>
        <v>712.3823809326482</v>
      </c>
      <c r="S333" s="86">
        <f t="shared" si="82"/>
        <v>1175.885868451874</v>
      </c>
      <c r="T333" s="86">
        <f t="shared" si="82"/>
        <v>1806.379065100583</v>
      </c>
      <c r="U333" s="87">
        <f t="shared" si="82"/>
        <v>2629.552695360277</v>
      </c>
      <c r="V333" s="15"/>
      <c r="W333" s="96">
        <f t="shared" si="83"/>
        <v>774.3243720329924</v>
      </c>
      <c r="X333" s="97">
        <f t="shared" si="84"/>
        <v>2053.910801149613</v>
      </c>
      <c r="Y333" s="98">
        <f t="shared" si="85"/>
        <v>761.8228268057155</v>
      </c>
      <c r="Z333" s="97">
        <f t="shared" si="86"/>
        <v>2031.7438184860994</v>
      </c>
      <c r="AA333" s="98">
        <f t="shared" si="87"/>
        <v>760.9174167140188</v>
      </c>
      <c r="AB333" s="98">
        <f t="shared" si="88"/>
        <v>2030.1337101470524</v>
      </c>
      <c r="AC333" s="91"/>
      <c r="AD333" s="92">
        <f t="shared" si="89"/>
        <v>760.9129959734404</v>
      </c>
    </row>
    <row r="334" spans="1:30" ht="11.25">
      <c r="A334" s="15"/>
      <c r="B334" s="93">
        <f>IF(C334&gt;$K$1,0,'Ranges and Data'!$A$10)</f>
        <v>535.2234266961229</v>
      </c>
      <c r="C334" s="94">
        <f t="shared" si="90"/>
        <v>40962.41666666608</v>
      </c>
      <c r="D334" s="85">
        <f t="shared" si="81"/>
        <v>2.916666666668268</v>
      </c>
      <c r="E334" s="15"/>
      <c r="F334" s="21"/>
      <c r="G334" s="21"/>
      <c r="H334" s="21"/>
      <c r="I334" s="21"/>
      <c r="J334" s="21"/>
      <c r="K334" s="21"/>
      <c r="L334" s="21"/>
      <c r="M334" s="15"/>
      <c r="N334" s="42"/>
      <c r="O334" s="86">
        <f t="shared" si="82"/>
        <v>70.8811834775538</v>
      </c>
      <c r="P334" s="86">
        <f t="shared" si="82"/>
        <v>189.1201183267841</v>
      </c>
      <c r="Q334" s="86">
        <f t="shared" si="82"/>
        <v>393.61873995053327</v>
      </c>
      <c r="R334" s="86">
        <f t="shared" si="82"/>
        <v>706.7466836297232</v>
      </c>
      <c r="S334" s="86">
        <f t="shared" si="82"/>
        <v>1150.4556777626274</v>
      </c>
      <c r="T334" s="86">
        <f t="shared" si="82"/>
        <v>1746.3633954732188</v>
      </c>
      <c r="U334" s="87">
        <f t="shared" si="82"/>
        <v>2515.809782884792</v>
      </c>
      <c r="V334" s="15"/>
      <c r="W334" s="96">
        <f t="shared" si="83"/>
        <v>766.4215576234353</v>
      </c>
      <c r="X334" s="97">
        <f t="shared" si="84"/>
        <v>1976.4776390240909</v>
      </c>
      <c r="Y334" s="98">
        <f t="shared" si="85"/>
        <v>754.3886123897267</v>
      </c>
      <c r="Z334" s="97">
        <f t="shared" si="86"/>
        <v>1956.0305490328171</v>
      </c>
      <c r="AA334" s="98">
        <f t="shared" si="87"/>
        <v>753.5169281606472</v>
      </c>
      <c r="AB334" s="98">
        <f t="shared" si="88"/>
        <v>1954.5450049225128</v>
      </c>
      <c r="AC334" s="91"/>
      <c r="AD334" s="92">
        <f t="shared" si="89"/>
        <v>753.5126720187637</v>
      </c>
    </row>
    <row r="335" spans="1:30" ht="11.25">
      <c r="A335" s="15"/>
      <c r="B335" s="93">
        <f>IF(C335&gt;$K$1,0,'Ranges and Data'!$A$10)</f>
        <v>535.2234266961229</v>
      </c>
      <c r="C335" s="94">
        <f t="shared" si="90"/>
        <v>40992.83333333275</v>
      </c>
      <c r="D335" s="85">
        <f t="shared" si="81"/>
        <v>2.8333333333349415</v>
      </c>
      <c r="E335" s="15"/>
      <c r="F335" s="21"/>
      <c r="G335" s="21"/>
      <c r="H335" s="21"/>
      <c r="I335" s="21"/>
      <c r="J335" s="21"/>
      <c r="K335" s="21"/>
      <c r="L335" s="21"/>
      <c r="M335" s="15"/>
      <c r="N335" s="42"/>
      <c r="O335" s="86">
        <f t="shared" si="82"/>
        <v>75.09599797897775</v>
      </c>
      <c r="P335" s="86">
        <f t="shared" si="82"/>
        <v>194.82569204947526</v>
      </c>
      <c r="Q335" s="86">
        <f t="shared" si="82"/>
        <v>397.08994577048014</v>
      </c>
      <c r="R335" s="86">
        <f t="shared" si="82"/>
        <v>701.1555706468772</v>
      </c>
      <c r="S335" s="86">
        <f t="shared" si="82"/>
        <v>1125.5754508205794</v>
      </c>
      <c r="T335" s="86">
        <f t="shared" si="82"/>
        <v>1688.3417041145417</v>
      </c>
      <c r="U335" s="87">
        <f t="shared" si="82"/>
        <v>2406.986889757554</v>
      </c>
      <c r="V335" s="15"/>
      <c r="W335" s="96">
        <f t="shared" si="83"/>
        <v>758.5993999487655</v>
      </c>
      <c r="X335" s="97">
        <f t="shared" si="84"/>
        <v>1900.4111109838393</v>
      </c>
      <c r="Y335" s="98">
        <f t="shared" si="85"/>
        <v>747.026944426848</v>
      </c>
      <c r="Z335" s="97">
        <f t="shared" si="86"/>
        <v>1881.601490968876</v>
      </c>
      <c r="AA335" s="98">
        <f t="shared" si="87"/>
        <v>746.1884148698017</v>
      </c>
      <c r="AB335" s="98">
        <f t="shared" si="88"/>
        <v>1880.2345820285404</v>
      </c>
      <c r="AC335" s="91"/>
      <c r="AD335" s="92">
        <f t="shared" si="89"/>
        <v>746.1843205431012</v>
      </c>
    </row>
    <row r="336" spans="1:30" ht="11.25">
      <c r="A336" s="15"/>
      <c r="B336" s="93">
        <f>IF(C336&gt;$K$1,0,'Ranges and Data'!$A$10)</f>
        <v>535.2234266961229</v>
      </c>
      <c r="C336" s="94">
        <f t="shared" si="90"/>
        <v>41023.24999999941</v>
      </c>
      <c r="D336" s="85">
        <f t="shared" si="81"/>
        <v>2.7500000000016147</v>
      </c>
      <c r="E336" s="15"/>
      <c r="F336" s="21"/>
      <c r="G336" s="21"/>
      <c r="H336" s="21"/>
      <c r="I336" s="21"/>
      <c r="J336" s="21"/>
      <c r="K336" s="21"/>
      <c r="L336" s="21"/>
      <c r="M336" s="15"/>
      <c r="N336" s="42"/>
      <c r="O336" s="86">
        <f t="shared" si="82"/>
        <v>79.56143839280679</v>
      </c>
      <c r="P336" s="86">
        <f t="shared" si="82"/>
        <v>200.703397493493</v>
      </c>
      <c r="Q336" s="86">
        <f t="shared" si="82"/>
        <v>400.5917631152898</v>
      </c>
      <c r="R336" s="86">
        <f t="shared" si="82"/>
        <v>695.6086892750328</v>
      </c>
      <c r="S336" s="86">
        <f t="shared" si="82"/>
        <v>1101.23329388388</v>
      </c>
      <c r="T336" s="86">
        <f t="shared" si="82"/>
        <v>1632.2477425037785</v>
      </c>
      <c r="U336" s="87">
        <f t="shared" si="82"/>
        <v>2302.871197528073</v>
      </c>
      <c r="V336" s="15"/>
      <c r="W336" s="96">
        <f t="shared" si="83"/>
        <v>750.8570758201106</v>
      </c>
      <c r="X336" s="97">
        <f t="shared" si="84"/>
        <v>1825.6913868315796</v>
      </c>
      <c r="Y336" s="98">
        <f t="shared" si="85"/>
        <v>739.7371149757197</v>
      </c>
      <c r="Z336" s="97">
        <f t="shared" si="86"/>
        <v>1808.4387904363741</v>
      </c>
      <c r="AA336" s="98">
        <f t="shared" si="87"/>
        <v>738.9311768284522</v>
      </c>
      <c r="AB336" s="98">
        <f t="shared" si="88"/>
        <v>1807.184726913842</v>
      </c>
      <c r="AC336" s="91"/>
      <c r="AD336" s="92">
        <f t="shared" si="89"/>
        <v>738.9272415719963</v>
      </c>
    </row>
    <row r="337" spans="1:30" ht="11.25">
      <c r="A337" s="15"/>
      <c r="B337" s="93">
        <f>IF(C337&gt;$K$1,0,'Ranges and Data'!$A$10)</f>
        <v>535.2234266961229</v>
      </c>
      <c r="C337" s="94">
        <f t="shared" si="90"/>
        <v>41053.666666666075</v>
      </c>
      <c r="D337" s="85">
        <f t="shared" si="81"/>
        <v>2.666666666668288</v>
      </c>
      <c r="E337" s="15"/>
      <c r="F337" s="21"/>
      <c r="G337" s="21"/>
      <c r="H337" s="21"/>
      <c r="I337" s="21"/>
      <c r="J337" s="21"/>
      <c r="K337" s="21"/>
      <c r="L337" s="21"/>
      <c r="M337" s="15"/>
      <c r="N337" s="42"/>
      <c r="O337" s="86">
        <f t="shared" si="82"/>
        <v>84.29240771131914</v>
      </c>
      <c r="P337" s="86">
        <f t="shared" si="82"/>
        <v>206.75842770881377</v>
      </c>
      <c r="Q337" s="86">
        <f t="shared" si="82"/>
        <v>404.12446193883494</v>
      </c>
      <c r="R337" s="86">
        <f t="shared" si="82"/>
        <v>690.105689595414</v>
      </c>
      <c r="S337" s="86">
        <f t="shared" si="82"/>
        <v>1077.4175704296267</v>
      </c>
      <c r="T337" s="86">
        <f t="shared" si="82"/>
        <v>1578.0174631805053</v>
      </c>
      <c r="U337" s="87">
        <f t="shared" si="82"/>
        <v>2203.2590933382908</v>
      </c>
      <c r="V337" s="15"/>
      <c r="W337" s="96">
        <f t="shared" si="83"/>
        <v>743.1937704501277</v>
      </c>
      <c r="X337" s="97">
        <f t="shared" si="84"/>
        <v>1752.2988987929962</v>
      </c>
      <c r="Y337" s="98">
        <f t="shared" si="85"/>
        <v>732.5184230033973</v>
      </c>
      <c r="Z337" s="97">
        <f t="shared" si="86"/>
        <v>1736.5248197373896</v>
      </c>
      <c r="AA337" s="98">
        <f t="shared" si="87"/>
        <v>731.7445208317166</v>
      </c>
      <c r="AB337" s="98">
        <f t="shared" si="88"/>
        <v>1735.3779486886647</v>
      </c>
      <c r="AC337" s="91"/>
      <c r="AD337" s="92">
        <f t="shared" si="89"/>
        <v>731.7407419386543</v>
      </c>
    </row>
    <row r="338" spans="1:30" ht="11.25">
      <c r="A338" s="15"/>
      <c r="B338" s="93">
        <f>IF(C338&gt;$K$1,0,'Ranges and Data'!$A$10)</f>
        <v>535.2234266961229</v>
      </c>
      <c r="C338" s="94">
        <f t="shared" si="90"/>
        <v>41084.08333333274</v>
      </c>
      <c r="D338" s="85">
        <f t="shared" si="81"/>
        <v>2.583333333334961</v>
      </c>
      <c r="E338" s="15"/>
      <c r="F338" s="21"/>
      <c r="G338" s="21"/>
      <c r="H338" s="21"/>
      <c r="I338" s="21"/>
      <c r="J338" s="21"/>
      <c r="K338" s="21"/>
      <c r="L338" s="21"/>
      <c r="M338" s="15"/>
      <c r="N338" s="42"/>
      <c r="O338" s="86">
        <f t="shared" si="82"/>
        <v>89.30469510482911</v>
      </c>
      <c r="P338" s="86">
        <f t="shared" si="82"/>
        <v>212.9961324147826</v>
      </c>
      <c r="Q338" s="86">
        <f t="shared" si="82"/>
        <v>407.6883145756308</v>
      </c>
      <c r="R338" s="86">
        <f t="shared" si="82"/>
        <v>684.6462244574717</v>
      </c>
      <c r="S338" s="86">
        <f t="shared" si="82"/>
        <v>1054.1168955911385</v>
      </c>
      <c r="T338" s="86">
        <f t="shared" si="82"/>
        <v>1525.5889466159717</v>
      </c>
      <c r="U338" s="87">
        <f t="shared" si="82"/>
        <v>2107.95577172904</v>
      </c>
      <c r="V338" s="15"/>
      <c r="W338" s="96">
        <f t="shared" si="83"/>
        <v>735.608677367256</v>
      </c>
      <c r="X338" s="97">
        <f t="shared" si="84"/>
        <v>1680.2143382257075</v>
      </c>
      <c r="Y338" s="98">
        <f t="shared" si="85"/>
        <v>725.370174317935</v>
      </c>
      <c r="Z338" s="97">
        <f t="shared" si="86"/>
        <v>1665.842174620212</v>
      </c>
      <c r="AA338" s="98">
        <f t="shared" si="87"/>
        <v>724.6277604166468</v>
      </c>
      <c r="AB338" s="98">
        <f t="shared" si="88"/>
        <v>1664.7969774498686</v>
      </c>
      <c r="AC338" s="91"/>
      <c r="AD338" s="92">
        <f t="shared" si="89"/>
        <v>724.6241352177323</v>
      </c>
    </row>
    <row r="339" spans="1:30" ht="11.25">
      <c r="A339" s="15"/>
      <c r="B339" s="93">
        <f>IF(C339&gt;$K$1,0,'Ranges and Data'!$A$10)</f>
        <v>535.2234266961229</v>
      </c>
      <c r="C339" s="94">
        <f t="shared" si="90"/>
        <v>41114.4999999994</v>
      </c>
      <c r="D339" s="85">
        <f t="shared" si="81"/>
        <v>2.5000000000016347</v>
      </c>
      <c r="E339" s="15"/>
      <c r="F339" s="21"/>
      <c r="G339" s="21"/>
      <c r="H339" s="21"/>
      <c r="I339" s="21"/>
      <c r="J339" s="21"/>
      <c r="K339" s="21"/>
      <c r="L339" s="21"/>
      <c r="M339" s="15"/>
      <c r="N339" s="42"/>
      <c r="O339" s="86">
        <f aca="true" t="shared" si="91" ref="O339:U348">$B339*O$7^$D339</f>
        <v>94.61502861657519</v>
      </c>
      <c r="P339" s="86">
        <f t="shared" si="91"/>
        <v>219.42202272667816</v>
      </c>
      <c r="Q339" s="86">
        <f t="shared" si="91"/>
        <v>411.2835957618292</v>
      </c>
      <c r="R339" s="86">
        <f t="shared" si="91"/>
        <v>679.2299494569851</v>
      </c>
      <c r="S339" s="86">
        <f t="shared" si="91"/>
        <v>1031.3201307155375</v>
      </c>
      <c r="T339" s="86">
        <f t="shared" si="91"/>
        <v>1474.9023305140722</v>
      </c>
      <c r="U339" s="87">
        <f t="shared" si="91"/>
        <v>2016.7748536706108</v>
      </c>
      <c r="V339" s="15"/>
      <c r="W339" s="96">
        <f t="shared" si="83"/>
        <v>728.1009983308462</v>
      </c>
      <c r="X339" s="97">
        <f t="shared" si="84"/>
        <v>1609.4186523680864</v>
      </c>
      <c r="Y339" s="98">
        <f t="shared" si="85"/>
        <v>718.2916815016283</v>
      </c>
      <c r="Z339" s="97">
        <f t="shared" si="86"/>
        <v>1596.3736715970033</v>
      </c>
      <c r="AA339" s="98">
        <f t="shared" si="87"/>
        <v>717.5802157966581</v>
      </c>
      <c r="AB339" s="98">
        <f t="shared" si="88"/>
        <v>1595.4247616368727</v>
      </c>
      <c r="AC339" s="91"/>
      <c r="AD339" s="92">
        <f t="shared" si="89"/>
        <v>717.5767416597758</v>
      </c>
    </row>
    <row r="340" spans="1:30" ht="11.25">
      <c r="A340" s="15"/>
      <c r="B340" s="93">
        <f>IF(C340&gt;$K$1,0,'Ranges and Data'!$A$10)</f>
        <v>535.2234266961229</v>
      </c>
      <c r="C340" s="94">
        <f t="shared" si="90"/>
        <v>41144.91666666607</v>
      </c>
      <c r="D340" s="85">
        <f t="shared" si="81"/>
        <v>2.416666666668308</v>
      </c>
      <c r="E340" s="15"/>
      <c r="F340" s="21"/>
      <c r="G340" s="21"/>
      <c r="H340" s="21"/>
      <c r="I340" s="21"/>
      <c r="J340" s="21"/>
      <c r="K340" s="21"/>
      <c r="L340" s="21"/>
      <c r="M340" s="15"/>
      <c r="N340" s="42"/>
      <c r="O340" s="86">
        <f t="shared" si="91"/>
        <v>100.24113099100957</v>
      </c>
      <c r="P340" s="86">
        <f t="shared" si="91"/>
        <v>226.04177602487493</v>
      </c>
      <c r="Q340" s="86">
        <f t="shared" si="91"/>
        <v>414.91058265639765</v>
      </c>
      <c r="R340" s="86">
        <f t="shared" si="91"/>
        <v>673.8565229143338</v>
      </c>
      <c r="S340" s="86">
        <f t="shared" si="91"/>
        <v>1009.0163780390264</v>
      </c>
      <c r="T340" s="86">
        <f t="shared" si="91"/>
        <v>1425.8997414612409</v>
      </c>
      <c r="U340" s="87">
        <f t="shared" si="91"/>
        <v>1929.5380220723812</v>
      </c>
      <c r="V340" s="15"/>
      <c r="W340" s="96">
        <f t="shared" si="83"/>
        <v>720.6699432471547</v>
      </c>
      <c r="X340" s="97">
        <f t="shared" si="84"/>
        <v>1539.8930411274448</v>
      </c>
      <c r="Y340" s="98">
        <f t="shared" si="85"/>
        <v>711.2822638449086</v>
      </c>
      <c r="Z340" s="97">
        <f t="shared" si="86"/>
        <v>1528.102345292533</v>
      </c>
      <c r="AA340" s="98">
        <f t="shared" si="87"/>
        <v>710.6012137965962</v>
      </c>
      <c r="AB340" s="98">
        <f t="shared" si="88"/>
        <v>1527.2444654181265</v>
      </c>
      <c r="AC340" s="91"/>
      <c r="AD340" s="92">
        <f t="shared" si="89"/>
        <v>710.5978881262912</v>
      </c>
    </row>
    <row r="341" spans="1:30" ht="11.25">
      <c r="A341" s="15"/>
      <c r="B341" s="93">
        <f>IF(C341&gt;$K$1,0,'Ranges and Data'!$A$10)</f>
        <v>535.2234266961229</v>
      </c>
      <c r="C341" s="94">
        <f t="shared" si="90"/>
        <v>41175.33333333273</v>
      </c>
      <c r="D341" s="85">
        <f t="shared" si="81"/>
        <v>2.333333333334981</v>
      </c>
      <c r="E341" s="15"/>
      <c r="F341" s="21"/>
      <c r="G341" s="21"/>
      <c r="H341" s="21"/>
      <c r="I341" s="21"/>
      <c r="J341" s="21"/>
      <c r="K341" s="21"/>
      <c r="L341" s="21"/>
      <c r="M341" s="15"/>
      <c r="N341" s="42"/>
      <c r="O341" s="86">
        <f t="shared" si="91"/>
        <v>106.20177882180997</v>
      </c>
      <c r="P341" s="86">
        <f t="shared" si="91"/>
        <v>232.8612409709019</v>
      </c>
      <c r="Q341" s="86">
        <f t="shared" si="91"/>
        <v>418.5695548624858</v>
      </c>
      <c r="R341" s="86">
        <f t="shared" si="91"/>
        <v>668.5256058529449</v>
      </c>
      <c r="S341" s="86">
        <f t="shared" si="91"/>
        <v>987.1949754773239</v>
      </c>
      <c r="T341" s="86">
        <f t="shared" si="91"/>
        <v>1378.525228847236</v>
      </c>
      <c r="U341" s="87">
        <f t="shared" si="91"/>
        <v>1846.074673058708</v>
      </c>
      <c r="V341" s="15"/>
      <c r="W341" s="96">
        <f t="shared" si="83"/>
        <v>713.3147300861957</v>
      </c>
      <c r="X341" s="97">
        <f t="shared" si="84"/>
        <v>1471.618953907131</v>
      </c>
      <c r="Y341" s="98">
        <f t="shared" si="85"/>
        <v>704.3412472808808</v>
      </c>
      <c r="Z341" s="97">
        <f t="shared" si="86"/>
        <v>1461.0114458236312</v>
      </c>
      <c r="AA341" s="98">
        <f t="shared" si="87"/>
        <v>703.6900877884368</v>
      </c>
      <c r="AB341" s="98">
        <f t="shared" si="88"/>
        <v>1460.239466107772</v>
      </c>
      <c r="AC341" s="91"/>
      <c r="AD341" s="92">
        <f t="shared" si="89"/>
        <v>703.6869080254503</v>
      </c>
    </row>
    <row r="342" spans="1:30" ht="11.25">
      <c r="A342" s="15"/>
      <c r="B342" s="93">
        <f>IF(C342&gt;$K$1,0,'Ranges and Data'!$A$10)</f>
        <v>535.2234266961229</v>
      </c>
      <c r="C342" s="94">
        <f t="shared" si="90"/>
        <v>41205.749999999396</v>
      </c>
      <c r="D342" s="85">
        <f t="shared" si="81"/>
        <v>2.2500000000016547</v>
      </c>
      <c r="E342" s="15"/>
      <c r="F342" s="21"/>
      <c r="G342" s="21"/>
      <c r="H342" s="21"/>
      <c r="I342" s="21"/>
      <c r="J342" s="21"/>
      <c r="K342" s="21"/>
      <c r="L342" s="21"/>
      <c r="M342" s="15"/>
      <c r="N342" s="42"/>
      <c r="O342" s="86">
        <f t="shared" si="91"/>
        <v>112.51686521701572</v>
      </c>
      <c r="P342" s="86">
        <f t="shared" si="91"/>
        <v>239.88644267483224</v>
      </c>
      <c r="Q342" s="86">
        <f t="shared" si="91"/>
        <v>422.26079444897965</v>
      </c>
      <c r="R342" s="86">
        <f t="shared" si="91"/>
        <v>663.2368619779081</v>
      </c>
      <c r="S342" s="86">
        <f t="shared" si="91"/>
        <v>965.8454915287615</v>
      </c>
      <c r="T342" s="86">
        <f t="shared" si="91"/>
        <v>1332.7247009813561</v>
      </c>
      <c r="U342" s="87">
        <f t="shared" si="91"/>
        <v>1766.2215823290867</v>
      </c>
      <c r="V342" s="15"/>
      <c r="W342" s="96">
        <f t="shared" si="83"/>
        <v>706.034584799442</v>
      </c>
      <c r="X342" s="97">
        <f t="shared" si="84"/>
        <v>1404.5780864720714</v>
      </c>
      <c r="Y342" s="98">
        <f t="shared" si="85"/>
        <v>697.4679643205025</v>
      </c>
      <c r="Z342" s="97">
        <f t="shared" si="86"/>
        <v>1395.0844362090213</v>
      </c>
      <c r="AA342" s="98">
        <f t="shared" si="87"/>
        <v>696.8461776276098</v>
      </c>
      <c r="AB342" s="98">
        <f t="shared" si="88"/>
        <v>1394.3933516121435</v>
      </c>
      <c r="AC342" s="91"/>
      <c r="AD342" s="92">
        <f t="shared" si="89"/>
        <v>696.8431412484209</v>
      </c>
    </row>
    <row r="343" spans="1:30" ht="11.25">
      <c r="A343" s="15"/>
      <c r="B343" s="93">
        <f>IF(C343&gt;$K$1,0,'Ranges and Data'!$A$10)</f>
        <v>535.2234266961229</v>
      </c>
      <c r="C343" s="94">
        <f t="shared" si="90"/>
        <v>41236.16666666606</v>
      </c>
      <c r="D343" s="85">
        <f t="shared" si="81"/>
        <v>2.166666666668328</v>
      </c>
      <c r="E343" s="15"/>
      <c r="F343" s="21"/>
      <c r="G343" s="21"/>
      <c r="H343" s="21"/>
      <c r="I343" s="21"/>
      <c r="J343" s="21"/>
      <c r="K343" s="21"/>
      <c r="L343" s="21"/>
      <c r="M343" s="15"/>
      <c r="N343" s="42"/>
      <c r="O343" s="86">
        <f t="shared" si="91"/>
        <v>119.2074661904267</v>
      </c>
      <c r="P343" s="86">
        <f t="shared" si="91"/>
        <v>247.12358801856774</v>
      </c>
      <c r="Q343" s="86">
        <f t="shared" si="91"/>
        <v>425.9845859722463</v>
      </c>
      <c r="R343" s="86">
        <f t="shared" si="91"/>
        <v>657.989957654761</v>
      </c>
      <c r="S343" s="86">
        <f t="shared" si="91"/>
        <v>944.95772028761</v>
      </c>
      <c r="T343" s="86">
        <f t="shared" si="91"/>
        <v>1288.4458633311474</v>
      </c>
      <c r="U343" s="87">
        <f t="shared" si="91"/>
        <v>1689.8225859501058</v>
      </c>
      <c r="V343" s="15"/>
      <c r="W343" s="96">
        <f t="shared" si="83"/>
        <v>698.8287412383652</v>
      </c>
      <c r="X343" s="97">
        <f t="shared" si="84"/>
        <v>1338.7523778523007</v>
      </c>
      <c r="Y343" s="98">
        <f t="shared" si="85"/>
        <v>690.6617539883931</v>
      </c>
      <c r="Z343" s="97">
        <f t="shared" si="86"/>
        <v>1330.3049898091788</v>
      </c>
      <c r="AA343" s="98">
        <f t="shared" si="87"/>
        <v>690.0688295899422</v>
      </c>
      <c r="AB343" s="98">
        <f t="shared" si="88"/>
        <v>1329.6899179057764</v>
      </c>
      <c r="AC343" s="91"/>
      <c r="AD343" s="92">
        <f t="shared" si="89"/>
        <v>690.0659341063144</v>
      </c>
    </row>
    <row r="344" spans="1:30" ht="11.25">
      <c r="A344" s="15"/>
      <c r="B344" s="93">
        <f>IF(C344&gt;$K$1,0,'Ranges and Data'!$A$10)</f>
        <v>535.2234266961229</v>
      </c>
      <c r="C344" s="94">
        <f t="shared" si="90"/>
        <v>41266.583333332725</v>
      </c>
      <c r="D344" s="85">
        <f t="shared" si="81"/>
        <v>2.083333333335001</v>
      </c>
      <c r="E344" s="15"/>
      <c r="F344" s="21"/>
      <c r="G344" s="21"/>
      <c r="H344" s="21"/>
      <c r="I344" s="21"/>
      <c r="J344" s="21"/>
      <c r="K344" s="21"/>
      <c r="L344" s="21"/>
      <c r="M344" s="15"/>
      <c r="N344" s="42"/>
      <c r="O344" s="86">
        <f t="shared" si="91"/>
        <v>126.29591100083996</v>
      </c>
      <c r="P344" s="86">
        <f t="shared" si="91"/>
        <v>254.57907113972132</v>
      </c>
      <c r="Q344" s="86">
        <f t="shared" si="91"/>
        <v>429.7412164980702</v>
      </c>
      <c r="R344" s="86">
        <f t="shared" si="91"/>
        <v>652.7845618884425</v>
      </c>
      <c r="S344" s="86">
        <f t="shared" si="91"/>
        <v>924.5216765652482</v>
      </c>
      <c r="T344" s="86">
        <f t="shared" si="91"/>
        <v>1245.6381588130923</v>
      </c>
      <c r="U344" s="87">
        <f t="shared" si="91"/>
        <v>1616.7282749549474</v>
      </c>
      <c r="V344" s="15"/>
      <c r="W344" s="96">
        <f t="shared" si="83"/>
        <v>691.6964410738084</v>
      </c>
      <c r="X344" s="97">
        <f t="shared" si="84"/>
        <v>1274.1240072840444</v>
      </c>
      <c r="Y344" s="98">
        <f t="shared" si="85"/>
        <v>683.9219617592715</v>
      </c>
      <c r="Z344" s="97">
        <f t="shared" si="86"/>
        <v>1266.6569877958864</v>
      </c>
      <c r="AA344" s="98">
        <f t="shared" si="87"/>
        <v>683.3573963092158</v>
      </c>
      <c r="AB344" s="98">
        <f t="shared" si="88"/>
        <v>1266.1131665365956</v>
      </c>
      <c r="AC344" s="91"/>
      <c r="AD344" s="92">
        <f t="shared" si="89"/>
        <v>683.3546392677499</v>
      </c>
    </row>
    <row r="345" spans="1:30" ht="11.25">
      <c r="A345" s="15"/>
      <c r="B345" s="93">
        <f>IF(C345&gt;$K$1,0,'Ranges and Data'!$A$10)</f>
        <v>535.2234266961229</v>
      </c>
      <c r="C345" s="94">
        <f t="shared" si="90"/>
        <v>41296.99999999939</v>
      </c>
      <c r="D345" s="85">
        <f t="shared" si="81"/>
        <v>2.0000000000016747</v>
      </c>
      <c r="E345" s="15"/>
      <c r="F345" s="21"/>
      <c r="G345" s="21"/>
      <c r="H345" s="21"/>
      <c r="I345" s="21"/>
      <c r="J345" s="21"/>
      <c r="K345" s="21"/>
      <c r="L345" s="21"/>
      <c r="M345" s="15"/>
      <c r="N345" s="42"/>
      <c r="O345" s="86">
        <f t="shared" si="91"/>
        <v>133.8058566738754</v>
      </c>
      <c r="P345" s="86">
        <f t="shared" si="91"/>
        <v>262.25947908094355</v>
      </c>
      <c r="Q345" s="86">
        <f t="shared" si="91"/>
        <v>433.53097562378315</v>
      </c>
      <c r="R345" s="86">
        <f t="shared" si="91"/>
        <v>647.6203463024123</v>
      </c>
      <c r="S345" s="86">
        <f t="shared" si="91"/>
        <v>904.5275911168453</v>
      </c>
      <c r="T345" s="86">
        <f t="shared" si="91"/>
        <v>1204.2527100670943</v>
      </c>
      <c r="U345" s="87">
        <f t="shared" si="91"/>
        <v>1546.7957031531696</v>
      </c>
      <c r="V345" s="15"/>
      <c r="W345" s="96">
        <f t="shared" si="83"/>
        <v>684.6369337161805</v>
      </c>
      <c r="X345" s="97">
        <f t="shared" si="84"/>
        <v>1210.6753911878934</v>
      </c>
      <c r="Y345" s="98">
        <f t="shared" si="85"/>
        <v>677.2479394950127</v>
      </c>
      <c r="Z345" s="97">
        <f t="shared" si="86"/>
        <v>1204.124516651144</v>
      </c>
      <c r="AA345" s="98">
        <f t="shared" si="87"/>
        <v>676.7112367153308</v>
      </c>
      <c r="AB345" s="98">
        <f t="shared" si="88"/>
        <v>1203.6473021599445</v>
      </c>
      <c r="AC345" s="91"/>
      <c r="AD345" s="92">
        <f t="shared" si="89"/>
        <v>676.7086156970222</v>
      </c>
    </row>
    <row r="346" spans="1:30" ht="11.25">
      <c r="A346" s="15"/>
      <c r="B346" s="93">
        <f>IF(C346&gt;$K$1,0,'Ranges and Data'!$A$10)</f>
        <v>535.2234266961229</v>
      </c>
      <c r="C346" s="94">
        <f t="shared" si="90"/>
        <v>41327.41666666605</v>
      </c>
      <c r="D346" s="85">
        <f t="shared" si="81"/>
        <v>1.9166666666683478</v>
      </c>
      <c r="E346" s="15"/>
      <c r="F346" s="21"/>
      <c r="G346" s="21"/>
      <c r="H346" s="21"/>
      <c r="I346" s="21"/>
      <c r="J346" s="21"/>
      <c r="K346" s="21"/>
      <c r="L346" s="21"/>
      <c r="M346" s="15"/>
      <c r="N346" s="42"/>
      <c r="O346" s="86">
        <f t="shared" si="91"/>
        <v>141.76236695509976</v>
      </c>
      <c r="P346" s="86">
        <f t="shared" si="91"/>
        <v>270.17159760968394</v>
      </c>
      <c r="Q346" s="86">
        <f t="shared" si="91"/>
        <v>437.35415550058883</v>
      </c>
      <c r="R346" s="86">
        <f t="shared" si="91"/>
        <v>642.496985117935</v>
      </c>
      <c r="S346" s="86">
        <f t="shared" si="91"/>
        <v>884.9659059712703</v>
      </c>
      <c r="T346" s="86">
        <f t="shared" si="91"/>
        <v>1164.2422636488504</v>
      </c>
      <c r="U346" s="87">
        <f t="shared" si="91"/>
        <v>1479.8881075793524</v>
      </c>
      <c r="V346" s="15"/>
      <c r="W346" s="96">
        <f t="shared" si="83"/>
        <v>677.6494762364657</v>
      </c>
      <c r="X346" s="97">
        <f t="shared" si="84"/>
        <v>1148.3891801836417</v>
      </c>
      <c r="Y346" s="98">
        <f t="shared" si="85"/>
        <v>670.6390453823184</v>
      </c>
      <c r="Z346" s="97">
        <f t="shared" si="86"/>
        <v>1142.6918656950986</v>
      </c>
      <c r="AA346" s="98">
        <f t="shared" si="87"/>
        <v>670.1297159730714</v>
      </c>
      <c r="AB346" s="98">
        <f t="shared" si="88"/>
        <v>1142.27673010114</v>
      </c>
      <c r="AC346" s="91"/>
      <c r="AD346" s="92">
        <f t="shared" si="89"/>
        <v>670.1272285928735</v>
      </c>
    </row>
    <row r="347" spans="1:30" ht="11.25">
      <c r="A347" s="15"/>
      <c r="B347" s="93">
        <f>IF(C347&gt;$K$1,0,'Ranges and Data'!$A$10)</f>
        <v>535.2234266961229</v>
      </c>
      <c r="C347" s="94">
        <f t="shared" si="90"/>
        <v>41357.83333333272</v>
      </c>
      <c r="D347" s="85">
        <f t="shared" si="81"/>
        <v>1.833333333335021</v>
      </c>
      <c r="E347" s="15"/>
      <c r="F347" s="21"/>
      <c r="G347" s="21"/>
      <c r="H347" s="21"/>
      <c r="I347" s="21"/>
      <c r="J347" s="21"/>
      <c r="K347" s="21"/>
      <c r="L347" s="21"/>
      <c r="M347" s="15"/>
      <c r="N347" s="42"/>
      <c r="O347" s="86">
        <f t="shared" si="91"/>
        <v>150.19199595794723</v>
      </c>
      <c r="P347" s="86">
        <f t="shared" si="91"/>
        <v>278.32241721352824</v>
      </c>
      <c r="Q347" s="86">
        <f t="shared" si="91"/>
        <v>441.21105085608536</v>
      </c>
      <c r="R347" s="86">
        <f t="shared" si="91"/>
        <v>637.4141551335296</v>
      </c>
      <c r="S347" s="86">
        <f t="shared" si="91"/>
        <v>865.827269862002</v>
      </c>
      <c r="T347" s="86">
        <f t="shared" si="91"/>
        <v>1125.5611360763976</v>
      </c>
      <c r="U347" s="87">
        <f t="shared" si="91"/>
        <v>1415.8746410339152</v>
      </c>
      <c r="V347" s="15"/>
      <c r="W347" s="96">
        <f t="shared" si="83"/>
        <v>670.7333332880397</v>
      </c>
      <c r="X347" s="97">
        <f t="shared" si="84"/>
        <v>1087.2482561413542</v>
      </c>
      <c r="Y347" s="98">
        <f t="shared" si="85"/>
        <v>664.0946438709974</v>
      </c>
      <c r="Z347" s="97">
        <f t="shared" si="86"/>
        <v>1082.3435246426798</v>
      </c>
      <c r="AA347" s="98">
        <f t="shared" si="87"/>
        <v>663.6122054214674</v>
      </c>
      <c r="AB347" s="98">
        <f t="shared" si="88"/>
        <v>1081.9860539462259</v>
      </c>
      <c r="AC347" s="91"/>
      <c r="AD347" s="92">
        <f t="shared" si="89"/>
        <v>663.6098493278597</v>
      </c>
    </row>
    <row r="348" spans="1:30" ht="11.25">
      <c r="A348" s="15"/>
      <c r="B348" s="93">
        <f>IF(C348&gt;$K$1,0,'Ranges and Data'!$A$10)</f>
        <v>535.2234266961229</v>
      </c>
      <c r="C348" s="94">
        <f t="shared" si="90"/>
        <v>41388.24999999938</v>
      </c>
      <c r="D348" s="85">
        <f t="shared" si="81"/>
        <v>1.7500000000016944</v>
      </c>
      <c r="E348" s="15"/>
      <c r="F348" s="21"/>
      <c r="G348" s="21"/>
      <c r="H348" s="21"/>
      <c r="I348" s="21"/>
      <c r="J348" s="21"/>
      <c r="K348" s="21"/>
      <c r="L348" s="21"/>
      <c r="M348" s="15"/>
      <c r="N348" s="42"/>
      <c r="O348" s="86">
        <f t="shared" si="91"/>
        <v>159.1228767856048</v>
      </c>
      <c r="P348" s="86">
        <f t="shared" si="91"/>
        <v>286.71913927641043</v>
      </c>
      <c r="Q348" s="86">
        <f t="shared" si="91"/>
        <v>445.10195901698495</v>
      </c>
      <c r="R348" s="86">
        <f t="shared" si="91"/>
        <v>632.3715357045801</v>
      </c>
      <c r="S348" s="86">
        <f t="shared" si="91"/>
        <v>847.1025337568485</v>
      </c>
      <c r="T348" s="86">
        <f t="shared" si="91"/>
        <v>1088.1651616692209</v>
      </c>
      <c r="U348" s="87">
        <f t="shared" si="91"/>
        <v>1354.6301161930417</v>
      </c>
      <c r="V348" s="15"/>
      <c r="W348" s="96">
        <f t="shared" si="83"/>
        <v>663.887777029282</v>
      </c>
      <c r="X348" s="97">
        <f t="shared" si="84"/>
        <v>1027.2357292682302</v>
      </c>
      <c r="Y348" s="98">
        <f t="shared" si="85"/>
        <v>657.6141056128471</v>
      </c>
      <c r="Z348" s="97">
        <f t="shared" si="86"/>
        <v>1023.0641811885961</v>
      </c>
      <c r="AA348" s="98">
        <f t="shared" si="87"/>
        <v>657.1580825137446</v>
      </c>
      <c r="AB348" s="98">
        <f t="shared" si="88"/>
        <v>1022.7600731606087</v>
      </c>
      <c r="AC348" s="91"/>
      <c r="AD348" s="92">
        <f t="shared" si="89"/>
        <v>657.1558553883058</v>
      </c>
    </row>
    <row r="349" spans="1:30" ht="11.25">
      <c r="A349" s="15"/>
      <c r="B349" s="93">
        <f>IF(C349&gt;$K$1,0,'Ranges and Data'!$A$10)</f>
        <v>535.2234266961229</v>
      </c>
      <c r="C349" s="94">
        <f t="shared" si="90"/>
        <v>41418.666666666046</v>
      </c>
      <c r="D349" s="85">
        <f t="shared" si="81"/>
        <v>1.6666666666683676</v>
      </c>
      <c r="E349" s="15"/>
      <c r="F349" s="21"/>
      <c r="G349" s="21"/>
      <c r="H349" s="21"/>
      <c r="I349" s="21"/>
      <c r="J349" s="21"/>
      <c r="K349" s="21"/>
      <c r="L349" s="21"/>
      <c r="M349" s="15"/>
      <c r="N349" s="42"/>
      <c r="O349" s="86">
        <f aca="true" t="shared" si="92" ref="O349:U358">$B349*O$7^$D349</f>
        <v>168.58481542262896</v>
      </c>
      <c r="P349" s="86">
        <f t="shared" si="92"/>
        <v>295.3691824411541</v>
      </c>
      <c r="Q349" s="86">
        <f t="shared" si="92"/>
        <v>449.02717993203504</v>
      </c>
      <c r="R349" s="86">
        <f t="shared" si="92"/>
        <v>627.3688087231084</v>
      </c>
      <c r="S349" s="86">
        <f t="shared" si="92"/>
        <v>828.7827464843456</v>
      </c>
      <c r="T349" s="86">
        <f t="shared" si="92"/>
        <v>1052.0116421203709</v>
      </c>
      <c r="U349" s="87">
        <f t="shared" si="92"/>
        <v>1296.0347607872848</v>
      </c>
      <c r="V349" s="15"/>
      <c r="W349" s="96">
        <f t="shared" si="83"/>
        <v>657.1120870469805</v>
      </c>
      <c r="X349" s="97">
        <f t="shared" si="84"/>
        <v>968.3349352308445</v>
      </c>
      <c r="Y349" s="98">
        <f t="shared" si="85"/>
        <v>651.1968074011313</v>
      </c>
      <c r="Z349" s="97">
        <f t="shared" si="86"/>
        <v>964.8387186203876</v>
      </c>
      <c r="AA349" s="98">
        <f t="shared" si="87"/>
        <v>650.7667307578596</v>
      </c>
      <c r="AB349" s="98">
        <f t="shared" si="88"/>
        <v>964.5837807352596</v>
      </c>
      <c r="AC349" s="91"/>
      <c r="AD349" s="92">
        <f t="shared" si="89"/>
        <v>650.7646303148471</v>
      </c>
    </row>
    <row r="350" spans="1:30" ht="11.25">
      <c r="A350" s="15"/>
      <c r="B350" s="93">
        <f>IF(C350&gt;$K$1,0,'Ranges and Data'!$A$10)</f>
        <v>535.2234266961229</v>
      </c>
      <c r="C350" s="94">
        <f t="shared" si="90"/>
        <v>41449.08333333271</v>
      </c>
      <c r="D350" s="85">
        <f t="shared" si="81"/>
        <v>1.583333333335041</v>
      </c>
      <c r="E350" s="15"/>
      <c r="F350" s="21"/>
      <c r="G350" s="21"/>
      <c r="H350" s="21"/>
      <c r="I350" s="21"/>
      <c r="J350" s="21"/>
      <c r="K350" s="21"/>
      <c r="L350" s="21"/>
      <c r="M350" s="15"/>
      <c r="N350" s="42"/>
      <c r="O350" s="86">
        <f t="shared" si="92"/>
        <v>178.60939020964832</v>
      </c>
      <c r="P350" s="86">
        <f t="shared" si="92"/>
        <v>304.2801891639665</v>
      </c>
      <c r="Q350" s="86">
        <f t="shared" si="92"/>
        <v>452.98701619514156</v>
      </c>
      <c r="R350" s="86">
        <f t="shared" si="92"/>
        <v>622.4056585977063</v>
      </c>
      <c r="S350" s="86">
        <f t="shared" si="92"/>
        <v>810.8591504547389</v>
      </c>
      <c r="T350" s="86">
        <f t="shared" si="92"/>
        <v>1017.0592977440143</v>
      </c>
      <c r="U350" s="87">
        <f t="shared" si="92"/>
        <v>1239.9739833700762</v>
      </c>
      <c r="V350" s="15"/>
      <c r="W350" s="96">
        <f t="shared" si="83"/>
        <v>650.4055502805157</v>
      </c>
      <c r="X350" s="97">
        <f t="shared" si="84"/>
        <v>910.5294323123435</v>
      </c>
      <c r="Y350" s="98">
        <f t="shared" si="85"/>
        <v>644.8421321106495</v>
      </c>
      <c r="Z350" s="97">
        <f t="shared" si="86"/>
        <v>907.6522134592104</v>
      </c>
      <c r="AA350" s="98">
        <f t="shared" si="87"/>
        <v>644.4375396576137</v>
      </c>
      <c r="AB350" s="98">
        <f t="shared" si="88"/>
        <v>907.4423608601758</v>
      </c>
      <c r="AC350" s="91"/>
      <c r="AD350" s="92">
        <f t="shared" si="89"/>
        <v>644.4355636435462</v>
      </c>
    </row>
    <row r="351" spans="1:30" ht="11.25">
      <c r="A351" s="15"/>
      <c r="B351" s="93">
        <f>IF(C351&gt;$K$1,0,'Ranges and Data'!$A$10)</f>
        <v>535.2234266961229</v>
      </c>
      <c r="C351" s="94">
        <f t="shared" si="90"/>
        <v>41479.499999999374</v>
      </c>
      <c r="D351" s="85">
        <f t="shared" si="81"/>
        <v>1.5000000000017144</v>
      </c>
      <c r="E351" s="15"/>
      <c r="F351" s="21"/>
      <c r="G351" s="21"/>
      <c r="H351" s="21"/>
      <c r="I351" s="21"/>
      <c r="J351" s="21"/>
      <c r="K351" s="21"/>
      <c r="L351" s="21"/>
      <c r="M351" s="15"/>
      <c r="N351" s="42"/>
      <c r="O351" s="86">
        <f t="shared" si="92"/>
        <v>189.23005723313992</v>
      </c>
      <c r="P351" s="86">
        <f t="shared" si="92"/>
        <v>313.4600324666742</v>
      </c>
      <c r="Q351" s="86">
        <f t="shared" si="92"/>
        <v>456.98177306869525</v>
      </c>
      <c r="R351" s="86">
        <f t="shared" si="92"/>
        <v>617.4817722336275</v>
      </c>
      <c r="S351" s="86">
        <f t="shared" si="92"/>
        <v>793.3231774735069</v>
      </c>
      <c r="T351" s="86">
        <f t="shared" si="92"/>
        <v>983.2682203427465</v>
      </c>
      <c r="U351" s="87">
        <f t="shared" si="92"/>
        <v>1186.3381492180563</v>
      </c>
      <c r="V351" s="15"/>
      <c r="W351" s="96">
        <f t="shared" si="83"/>
        <v>643.7674609468199</v>
      </c>
      <c r="X351" s="97">
        <f t="shared" si="84"/>
        <v>853.8029986041853</v>
      </c>
      <c r="Y351" s="98">
        <f t="shared" si="85"/>
        <v>638.5494686383898</v>
      </c>
      <c r="Z351" s="97">
        <f t="shared" si="86"/>
        <v>851.4899331280392</v>
      </c>
      <c r="AA351" s="98">
        <f t="shared" si="87"/>
        <v>638.1699046543376</v>
      </c>
      <c r="AB351" s="98">
        <f t="shared" si="88"/>
        <v>851.3211866247877</v>
      </c>
      <c r="AC351" s="91"/>
      <c r="AD351" s="92">
        <f t="shared" si="89"/>
        <v>638.1680508475848</v>
      </c>
    </row>
    <row r="352" spans="1:30" ht="11.25">
      <c r="A352" s="15"/>
      <c r="B352" s="93">
        <f>IF(C352&gt;$K$1,0,'Ranges and Data'!$A$10)</f>
        <v>535.2234266961229</v>
      </c>
      <c r="C352" s="94">
        <f t="shared" si="90"/>
        <v>41509.91666666604</v>
      </c>
      <c r="D352" s="85">
        <f t="shared" si="81"/>
        <v>1.4166666666683876</v>
      </c>
      <c r="E352" s="15"/>
      <c r="F352" s="21"/>
      <c r="G352" s="21"/>
      <c r="H352" s="21"/>
      <c r="I352" s="21"/>
      <c r="J352" s="21"/>
      <c r="K352" s="21"/>
      <c r="L352" s="21"/>
      <c r="M352" s="15"/>
      <c r="N352" s="42"/>
      <c r="O352" s="86">
        <f t="shared" si="92"/>
        <v>200.48226198200805</v>
      </c>
      <c r="P352" s="86">
        <f t="shared" si="92"/>
        <v>322.9168228926693</v>
      </c>
      <c r="Q352" s="86">
        <f t="shared" si="92"/>
        <v>461.0117585071047</v>
      </c>
      <c r="R352" s="86">
        <f t="shared" si="92"/>
        <v>612.5968390130354</v>
      </c>
      <c r="S352" s="86">
        <f t="shared" si="92"/>
        <v>776.166444645421</v>
      </c>
      <c r="T352" s="86">
        <f t="shared" si="92"/>
        <v>950.5998276408578</v>
      </c>
      <c r="U352" s="87">
        <f t="shared" si="92"/>
        <v>1135.022365924978</v>
      </c>
      <c r="V352" s="15"/>
      <c r="W352" s="96">
        <f t="shared" si="83"/>
        <v>637.1971204661024</v>
      </c>
      <c r="X352" s="97">
        <f t="shared" si="84"/>
        <v>798.1396292320144</v>
      </c>
      <c r="Y352" s="98">
        <f t="shared" si="85"/>
        <v>632.3182118447626</v>
      </c>
      <c r="Z352" s="97">
        <f t="shared" si="86"/>
        <v>796.337333646977</v>
      </c>
      <c r="AA352" s="98">
        <f t="shared" si="87"/>
        <v>631.9632270691462</v>
      </c>
      <c r="AB352" s="98">
        <f t="shared" si="88"/>
        <v>796.2058177450143</v>
      </c>
      <c r="AC352" s="91"/>
      <c r="AD352" s="92">
        <f t="shared" si="89"/>
        <v>631.9614932795215</v>
      </c>
    </row>
    <row r="353" spans="1:30" ht="11.25">
      <c r="A353" s="15"/>
      <c r="B353" s="93">
        <f>IF(C353&gt;$K$1,0,'Ranges and Data'!$A$10)</f>
        <v>535.2234266961229</v>
      </c>
      <c r="C353" s="94">
        <f t="shared" si="90"/>
        <v>41540.3333333327</v>
      </c>
      <c r="D353" s="85">
        <f t="shared" si="81"/>
        <v>1.333333333335061</v>
      </c>
      <c r="E353" s="15"/>
      <c r="F353" s="21"/>
      <c r="G353" s="21"/>
      <c r="H353" s="21"/>
      <c r="I353" s="21"/>
      <c r="J353" s="21"/>
      <c r="K353" s="21"/>
      <c r="L353" s="21"/>
      <c r="M353" s="15"/>
      <c r="N353" s="42"/>
      <c r="O353" s="86">
        <f t="shared" si="92"/>
        <v>212.40355764360814</v>
      </c>
      <c r="P353" s="86">
        <f t="shared" si="92"/>
        <v>332.6589156727075</v>
      </c>
      <c r="Q353" s="86">
        <f t="shared" si="92"/>
        <v>465.07728318053586</v>
      </c>
      <c r="R353" s="86">
        <f t="shared" si="92"/>
        <v>607.750550775409</v>
      </c>
      <c r="S353" s="86">
        <f t="shared" si="92"/>
        <v>759.380750367188</v>
      </c>
      <c r="T353" s="86">
        <f t="shared" si="92"/>
        <v>919.0168192315203</v>
      </c>
      <c r="U353" s="87">
        <f t="shared" si="92"/>
        <v>1085.9262782698743</v>
      </c>
      <c r="V353" s="15"/>
      <c r="W353" s="96">
        <f t="shared" si="83"/>
        <v>630.6938373883313</v>
      </c>
      <c r="X353" s="97">
        <f t="shared" si="84"/>
        <v>743.523533615265</v>
      </c>
      <c r="Y353" s="98">
        <f t="shared" si="85"/>
        <v>626.1477624954057</v>
      </c>
      <c r="Z353" s="97">
        <f t="shared" si="86"/>
        <v>742.1800573553692</v>
      </c>
      <c r="AA353" s="98">
        <f t="shared" si="87"/>
        <v>625.8169140457519</v>
      </c>
      <c r="AB353" s="98">
        <f t="shared" si="88"/>
        <v>742.08199831666</v>
      </c>
      <c r="AC353" s="91"/>
      <c r="AD353" s="92">
        <f t="shared" si="89"/>
        <v>625.8152981141114</v>
      </c>
    </row>
    <row r="354" spans="1:30" ht="11.25">
      <c r="A354" s="15"/>
      <c r="B354" s="93">
        <f>IF(C354&gt;$K$1,0,'Ranges and Data'!$A$10)</f>
        <v>535.2234266961229</v>
      </c>
      <c r="C354" s="94">
        <f t="shared" si="90"/>
        <v>41570.74999999937</v>
      </c>
      <c r="D354" s="85">
        <f t="shared" si="81"/>
        <v>1.2500000000017342</v>
      </c>
      <c r="E354" s="15"/>
      <c r="F354" s="21"/>
      <c r="G354" s="21"/>
      <c r="H354" s="21"/>
      <c r="I354" s="21"/>
      <c r="J354" s="21"/>
      <c r="K354" s="21"/>
      <c r="L354" s="21"/>
      <c r="M354" s="15"/>
      <c r="N354" s="42"/>
      <c r="O354" s="86">
        <f t="shared" si="92"/>
        <v>225.03373043401902</v>
      </c>
      <c r="P354" s="86">
        <f t="shared" si="92"/>
        <v>342.6949181068935</v>
      </c>
      <c r="Q354" s="86">
        <f t="shared" si="92"/>
        <v>469.1786604988623</v>
      </c>
      <c r="R354" s="86">
        <f t="shared" si="92"/>
        <v>602.9426017981027</v>
      </c>
      <c r="S354" s="86">
        <f t="shared" si="92"/>
        <v>742.9580704067552</v>
      </c>
      <c r="T354" s="86">
        <f t="shared" si="92"/>
        <v>888.4831339875992</v>
      </c>
      <c r="U354" s="87">
        <f t="shared" si="92"/>
        <v>1038.9538719583302</v>
      </c>
      <c r="V354" s="15"/>
      <c r="W354" s="96">
        <f t="shared" si="83"/>
        <v>624.2569273204676</v>
      </c>
      <c r="X354" s="97">
        <f t="shared" si="84"/>
        <v>689.9391327600947</v>
      </c>
      <c r="Y354" s="98">
        <f t="shared" si="85"/>
        <v>620.0375272035593</v>
      </c>
      <c r="Z354" s="97">
        <f t="shared" si="86"/>
        <v>689.0039306604131</v>
      </c>
      <c r="AA354" s="98">
        <f t="shared" si="87"/>
        <v>619.7303784938359</v>
      </c>
      <c r="AB354" s="98">
        <f t="shared" si="88"/>
        <v>688.9356545948594</v>
      </c>
      <c r="AC354" s="91"/>
      <c r="AD354" s="92">
        <f t="shared" si="89"/>
        <v>619.728878291682</v>
      </c>
    </row>
    <row r="355" spans="1:30" ht="11.25">
      <c r="A355" s="15"/>
      <c r="B355" s="93">
        <f>IF(C355&gt;$K$1,0,'Ranges and Data'!$A$10)</f>
        <v>535.2234266961229</v>
      </c>
      <c r="C355" s="94">
        <f t="shared" si="90"/>
        <v>41601.16666666603</v>
      </c>
      <c r="D355" s="85">
        <f t="shared" si="81"/>
        <v>1.1666666666684076</v>
      </c>
      <c r="E355" s="15"/>
      <c r="F355" s="21"/>
      <c r="G355" s="21"/>
      <c r="H355" s="21"/>
      <c r="I355" s="21"/>
      <c r="J355" s="21"/>
      <c r="K355" s="21"/>
      <c r="L355" s="21"/>
      <c r="M355" s="15"/>
      <c r="N355" s="42"/>
      <c r="O355" s="86">
        <f t="shared" si="92"/>
        <v>238.41493238084018</v>
      </c>
      <c r="P355" s="86">
        <f t="shared" si="92"/>
        <v>353.03369716937254</v>
      </c>
      <c r="Q355" s="86">
        <f t="shared" si="92"/>
        <v>473.3162066358252</v>
      </c>
      <c r="R355" s="86">
        <f t="shared" si="92"/>
        <v>598.1726887770599</v>
      </c>
      <c r="S355" s="86">
        <f t="shared" si="92"/>
        <v>726.8905540674075</v>
      </c>
      <c r="T355" s="86">
        <f t="shared" si="92"/>
        <v>858.9639088874593</v>
      </c>
      <c r="U355" s="87">
        <f t="shared" si="92"/>
        <v>994.0132858530454</v>
      </c>
      <c r="V355" s="15"/>
      <c r="W355" s="96">
        <f t="shared" si="83"/>
        <v>617.8857128544404</v>
      </c>
      <c r="X355" s="97">
        <f t="shared" si="84"/>
        <v>637.3710565852545</v>
      </c>
      <c r="Y355" s="98">
        <f t="shared" si="85"/>
        <v>613.9869183730023</v>
      </c>
      <c r="Z355" s="97">
        <f t="shared" si="86"/>
        <v>636.7949618119653</v>
      </c>
      <c r="AA355" s="98">
        <f t="shared" si="87"/>
        <v>613.7030390329705</v>
      </c>
      <c r="AB355" s="98">
        <f t="shared" si="88"/>
        <v>636.7528927992754</v>
      </c>
      <c r="AC355" s="91"/>
      <c r="AD355" s="92">
        <f t="shared" si="89"/>
        <v>613.7016524620591</v>
      </c>
    </row>
    <row r="356" spans="1:30" ht="11.25">
      <c r="A356" s="15"/>
      <c r="B356" s="93">
        <f>IF(C356&gt;$K$1,0,'Ranges and Data'!$A$10)</f>
        <v>535.2234266961229</v>
      </c>
      <c r="C356" s="94">
        <f t="shared" si="90"/>
        <v>41631.583333332695</v>
      </c>
      <c r="D356" s="85">
        <f t="shared" si="81"/>
        <v>1.083333333335081</v>
      </c>
      <c r="E356" s="15"/>
      <c r="F356" s="21"/>
      <c r="G356" s="21"/>
      <c r="H356" s="21"/>
      <c r="I356" s="21"/>
      <c r="J356" s="21"/>
      <c r="K356" s="21"/>
      <c r="L356" s="21"/>
      <c r="M356" s="15"/>
      <c r="N356" s="42"/>
      <c r="O356" s="86">
        <f t="shared" si="92"/>
        <v>252.59182200166592</v>
      </c>
      <c r="P356" s="86">
        <f t="shared" si="92"/>
        <v>363.6843873424487</v>
      </c>
      <c r="Q356" s="86">
        <f t="shared" si="92"/>
        <v>477.4902405534073</v>
      </c>
      <c r="R356" s="86">
        <f t="shared" si="92"/>
        <v>593.4405108076795</v>
      </c>
      <c r="S356" s="86">
        <f t="shared" si="92"/>
        <v>711.1705204348212</v>
      </c>
      <c r="T356" s="86">
        <f t="shared" si="92"/>
        <v>830.4254392087552</v>
      </c>
      <c r="U356" s="87">
        <f t="shared" si="92"/>
        <v>951.0166323264801</v>
      </c>
      <c r="V356" s="15"/>
      <c r="W356" s="96">
        <f t="shared" si="83"/>
        <v>611.5795234958578</v>
      </c>
      <c r="X356" s="97">
        <f t="shared" si="84"/>
        <v>585.8041412805022</v>
      </c>
      <c r="Y356" s="98">
        <f t="shared" si="85"/>
        <v>607.9953541415446</v>
      </c>
      <c r="Z356" s="97">
        <f t="shared" si="86"/>
        <v>585.5393387032495</v>
      </c>
      <c r="AA356" s="98">
        <f t="shared" si="87"/>
        <v>607.734319937085</v>
      </c>
      <c r="AB356" s="98">
        <f t="shared" si="88"/>
        <v>585.5199969447567</v>
      </c>
      <c r="AC356" s="91"/>
      <c r="AD356" s="92">
        <f t="shared" si="89"/>
        <v>607.7330449290396</v>
      </c>
    </row>
    <row r="357" spans="1:30" ht="11.25">
      <c r="A357" s="15"/>
      <c r="B357" s="93">
        <f>IF(C357&gt;$K$1,0,'Ranges and Data'!$A$10)</f>
        <v>535.2234266961229</v>
      </c>
      <c r="C357" s="94">
        <f t="shared" si="90"/>
        <v>41661.99999999936</v>
      </c>
      <c r="D357" s="85">
        <f t="shared" si="81"/>
        <v>1.0000000000017542</v>
      </c>
      <c r="E357" s="15"/>
      <c r="F357" s="21"/>
      <c r="G357" s="21"/>
      <c r="H357" s="21"/>
      <c r="I357" s="21"/>
      <c r="J357" s="21"/>
      <c r="K357" s="21"/>
      <c r="L357" s="21"/>
      <c r="M357" s="15"/>
      <c r="N357" s="42"/>
      <c r="O357" s="86">
        <f t="shared" si="92"/>
        <v>267.6117133477361</v>
      </c>
      <c r="P357" s="86">
        <f t="shared" si="92"/>
        <v>374.6563986870516</v>
      </c>
      <c r="Q357" s="86">
        <f t="shared" si="92"/>
        <v>481.70108402642165</v>
      </c>
      <c r="R357" s="86">
        <f t="shared" si="92"/>
        <v>588.7457693658337</v>
      </c>
      <c r="S357" s="86">
        <f t="shared" si="92"/>
        <v>695.79045470528</v>
      </c>
      <c r="T357" s="86">
        <f t="shared" si="92"/>
        <v>802.8351400447555</v>
      </c>
      <c r="U357" s="87">
        <f t="shared" si="92"/>
        <v>909.8798253842558</v>
      </c>
      <c r="V357" s="15"/>
      <c r="W357" s="96">
        <f t="shared" si="83"/>
        <v>605.3376955934458</v>
      </c>
      <c r="X357" s="97">
        <f t="shared" si="84"/>
        <v>535.2234266971774</v>
      </c>
      <c r="Y357" s="98">
        <f t="shared" si="85"/>
        <v>602.0622583250735</v>
      </c>
      <c r="Z357" s="97">
        <f t="shared" si="86"/>
        <v>535.2234266971724</v>
      </c>
      <c r="AA357" s="98">
        <f t="shared" si="87"/>
        <v>601.823651079474</v>
      </c>
      <c r="AB357" s="98">
        <f t="shared" si="88"/>
        <v>535.2234266971719</v>
      </c>
      <c r="AC357" s="91"/>
      <c r="AD357" s="92">
        <f t="shared" si="89"/>
        <v>601.822485595402</v>
      </c>
    </row>
    <row r="358" spans="1:30" ht="11.25">
      <c r="A358" s="15"/>
      <c r="B358" s="93">
        <f>IF(C358&gt;$K$1,0,'Ranges and Data'!$A$10)</f>
        <v>535.2234266961229</v>
      </c>
      <c r="C358" s="94">
        <f t="shared" si="90"/>
        <v>41692.416666666024</v>
      </c>
      <c r="D358" s="85">
        <f t="shared" si="81"/>
        <v>0.9166666666684276</v>
      </c>
      <c r="E358" s="15"/>
      <c r="F358" s="21"/>
      <c r="G358" s="21"/>
      <c r="H358" s="21"/>
      <c r="I358" s="21"/>
      <c r="J358" s="21"/>
      <c r="K358" s="21"/>
      <c r="L358" s="21"/>
      <c r="M358" s="15"/>
      <c r="N358" s="42"/>
      <c r="O358" s="86">
        <f t="shared" si="92"/>
        <v>283.52473391018384</v>
      </c>
      <c r="P358" s="86">
        <f t="shared" si="92"/>
        <v>385.9594251566803</v>
      </c>
      <c r="Q358" s="86">
        <f t="shared" si="92"/>
        <v>485.94906166731687</v>
      </c>
      <c r="R358" s="86">
        <f t="shared" si="92"/>
        <v>584.088168289036</v>
      </c>
      <c r="S358" s="86">
        <f t="shared" si="92"/>
        <v>680.743004593299</v>
      </c>
      <c r="T358" s="86">
        <f t="shared" si="92"/>
        <v>776.1615090992586</v>
      </c>
      <c r="U358" s="87">
        <f t="shared" si="92"/>
        <v>870.5224162231852</v>
      </c>
      <c r="V358" s="15"/>
      <c r="W358" s="96">
        <f t="shared" si="83"/>
        <v>599.1595722692065</v>
      </c>
      <c r="X358" s="97">
        <f t="shared" si="84"/>
        <v>485.614153770552</v>
      </c>
      <c r="Y358" s="98">
        <f t="shared" si="85"/>
        <v>596.1870603621428</v>
      </c>
      <c r="Z358" s="97">
        <f t="shared" si="86"/>
        <v>485.83376647795467</v>
      </c>
      <c r="AA358" s="98">
        <f t="shared" si="87"/>
        <v>595.9704678783385</v>
      </c>
      <c r="AB358" s="98">
        <f t="shared" si="88"/>
        <v>485.84981525413235</v>
      </c>
      <c r="AC358" s="91"/>
      <c r="AD358" s="92">
        <f t="shared" si="89"/>
        <v>595.9694099084543</v>
      </c>
    </row>
    <row r="359" spans="1:30" ht="11.25">
      <c r="A359" s="15"/>
      <c r="B359" s="93">
        <f>IF(C359&gt;$K$1,0,'Ranges and Data'!$A$10)</f>
        <v>535.2234266961229</v>
      </c>
      <c r="C359" s="94">
        <f t="shared" si="90"/>
        <v>41722.83333333269</v>
      </c>
      <c r="D359" s="85">
        <f t="shared" si="81"/>
        <v>0.8333333333351008</v>
      </c>
      <c r="E359" s="15"/>
      <c r="F359" s="21"/>
      <c r="G359" s="21"/>
      <c r="H359" s="21"/>
      <c r="I359" s="21"/>
      <c r="J359" s="21"/>
      <c r="K359" s="21"/>
      <c r="L359" s="21"/>
      <c r="M359" s="15"/>
      <c r="N359" s="42"/>
      <c r="O359" s="86">
        <f aca="true" t="shared" si="93" ref="O359:U374">$B359*O$7^$D359</f>
        <v>300.38399191587786</v>
      </c>
      <c r="P359" s="86">
        <f t="shared" si="93"/>
        <v>397.60345316217195</v>
      </c>
      <c r="Q359" s="86">
        <f t="shared" si="93"/>
        <v>490.2345009512018</v>
      </c>
      <c r="R359" s="86">
        <f t="shared" si="93"/>
        <v>579.4674137577584</v>
      </c>
      <c r="S359" s="86">
        <f t="shared" si="93"/>
        <v>666.0209768169385</v>
      </c>
      <c r="T359" s="86">
        <f t="shared" si="93"/>
        <v>750.3740907176226</v>
      </c>
      <c r="U359" s="87">
        <f t="shared" si="93"/>
        <v>832.8674359023383</v>
      </c>
      <c r="V359" s="15"/>
      <c r="W359" s="96">
        <f t="shared" si="83"/>
        <v>593.0445033492895</v>
      </c>
      <c r="X359" s="97">
        <f t="shared" si="84"/>
        <v>436.96176197358335</v>
      </c>
      <c r="Y359" s="98">
        <f t="shared" si="85"/>
        <v>590.3691952591056</v>
      </c>
      <c r="Z359" s="97">
        <f t="shared" si="86"/>
        <v>437.3570719277931</v>
      </c>
      <c r="AA359" s="98">
        <f t="shared" si="87"/>
        <v>590.1742112428583</v>
      </c>
      <c r="AB359" s="98">
        <f t="shared" si="88"/>
        <v>437.38596725032187</v>
      </c>
      <c r="AC359" s="91"/>
      <c r="AD359" s="92">
        <f t="shared" si="89"/>
        <v>590.1732588061095</v>
      </c>
    </row>
    <row r="360" spans="1:30" ht="11.25">
      <c r="A360" s="15"/>
      <c r="B360" s="93">
        <f>IF(C360&gt;$K$1,0,'Ranges and Data'!$A$10)</f>
        <v>535.2234266961229</v>
      </c>
      <c r="C360" s="94">
        <f t="shared" si="90"/>
        <v>41753.24999999935</v>
      </c>
      <c r="D360" s="85">
        <f t="shared" si="81"/>
        <v>0.7500000000017741</v>
      </c>
      <c r="E360" s="15"/>
      <c r="F360" s="21"/>
      <c r="G360" s="21"/>
      <c r="H360" s="21"/>
      <c r="I360" s="21"/>
      <c r="J360" s="21"/>
      <c r="K360" s="21"/>
      <c r="L360" s="21"/>
      <c r="M360" s="15"/>
      <c r="N360" s="42"/>
      <c r="O360" s="86">
        <f t="shared" si="93"/>
        <v>318.245753571192</v>
      </c>
      <c r="P360" s="86">
        <f t="shared" si="93"/>
        <v>409.5987703948604</v>
      </c>
      <c r="Q360" s="86">
        <f t="shared" si="93"/>
        <v>494.5577322410902</v>
      </c>
      <c r="R360" s="86">
        <f t="shared" si="93"/>
        <v>574.8832142768953</v>
      </c>
      <c r="S360" s="86">
        <f t="shared" si="93"/>
        <v>651.6173336591279</v>
      </c>
      <c r="T360" s="86">
        <f t="shared" si="93"/>
        <v>725.4434411128373</v>
      </c>
      <c r="U360" s="87">
        <f t="shared" si="93"/>
        <v>796.8412448194699</v>
      </c>
      <c r="V360" s="15"/>
      <c r="W360" s="96">
        <f t="shared" si="83"/>
        <v>586.9918452955691</v>
      </c>
      <c r="X360" s="97">
        <f t="shared" si="84"/>
        <v>389.251886801696</v>
      </c>
      <c r="Y360" s="98">
        <f t="shared" si="85"/>
        <v>584.60810353578</v>
      </c>
      <c r="Z360" s="97">
        <f t="shared" si="86"/>
        <v>389.7802280282662</v>
      </c>
      <c r="AA360" s="98">
        <f t="shared" si="87"/>
        <v>584.4343275197874</v>
      </c>
      <c r="AB360" s="98">
        <f t="shared" si="88"/>
        <v>389.81885668715836</v>
      </c>
      <c r="AC360" s="91"/>
      <c r="AD360" s="92">
        <f t="shared" si="89"/>
        <v>584.433478663486</v>
      </c>
    </row>
    <row r="361" spans="1:30" ht="11.25">
      <c r="A361" s="15"/>
      <c r="B361" s="93">
        <f>IF(C361&gt;$K$1,0,'Ranges and Data'!$A$10)</f>
        <v>535.2234266961229</v>
      </c>
      <c r="C361" s="94">
        <f t="shared" si="90"/>
        <v>41783.66666666602</v>
      </c>
      <c r="D361" s="85">
        <f t="shared" si="81"/>
        <v>0.6666666666684474</v>
      </c>
      <c r="E361" s="15"/>
      <c r="F361" s="21"/>
      <c r="G361" s="21"/>
      <c r="H361" s="21"/>
      <c r="I361" s="21"/>
      <c r="J361" s="21"/>
      <c r="K361" s="21"/>
      <c r="L361" s="21"/>
      <c r="M361" s="15"/>
      <c r="N361" s="42"/>
      <c r="O361" s="86">
        <f t="shared" si="93"/>
        <v>337.1696308452393</v>
      </c>
      <c r="P361" s="86">
        <f t="shared" si="93"/>
        <v>421.9559749159225</v>
      </c>
      <c r="Q361" s="86">
        <f t="shared" si="93"/>
        <v>498.9190888133681</v>
      </c>
      <c r="R361" s="86">
        <f t="shared" si="93"/>
        <v>570.3352806573756</v>
      </c>
      <c r="S361" s="86">
        <f t="shared" si="93"/>
        <v>637.5251896033561</v>
      </c>
      <c r="T361" s="86">
        <f t="shared" si="93"/>
        <v>701.3410947469366</v>
      </c>
      <c r="U361" s="87">
        <f t="shared" si="93"/>
        <v>762.3733886984352</v>
      </c>
      <c r="V361" s="15"/>
      <c r="W361" s="96">
        <f t="shared" si="83"/>
        <v>581.0009611379195</v>
      </c>
      <c r="X361" s="97">
        <f t="shared" si="84"/>
        <v>342.4703572882236</v>
      </c>
      <c r="Y361" s="98">
        <f t="shared" si="85"/>
        <v>578.9032311716471</v>
      </c>
      <c r="Z361" s="97">
        <f t="shared" si="86"/>
        <v>343.09028878620734</v>
      </c>
      <c r="AA361" s="98">
        <f t="shared" si="87"/>
        <v>578.7502684405705</v>
      </c>
      <c r="AB361" s="98">
        <f t="shared" si="88"/>
        <v>343.1356248865099</v>
      </c>
      <c r="AC361" s="91"/>
      <c r="AD361" s="92">
        <f t="shared" si="89"/>
        <v>578.7495212400287</v>
      </c>
    </row>
    <row r="362" spans="1:30" ht="11.25">
      <c r="A362" s="15"/>
      <c r="B362" s="93">
        <f>IF(C362&gt;$K$1,0,'Ranges and Data'!$A$10)</f>
        <v>535.2234266961229</v>
      </c>
      <c r="C362" s="94">
        <f t="shared" si="90"/>
        <v>41814.08333333268</v>
      </c>
      <c r="D362" s="85">
        <f t="shared" si="81"/>
        <v>0.5833333333351207</v>
      </c>
      <c r="E362" s="15"/>
      <c r="F362" s="21"/>
      <c r="G362" s="21"/>
      <c r="H362" s="21"/>
      <c r="I362" s="21"/>
      <c r="J362" s="21"/>
      <c r="K362" s="21"/>
      <c r="L362" s="21"/>
      <c r="M362" s="15"/>
      <c r="N362" s="42"/>
      <c r="O362" s="86">
        <f t="shared" si="93"/>
        <v>357.21878041927687</v>
      </c>
      <c r="P362" s="86">
        <f t="shared" si="93"/>
        <v>434.6859845199398</v>
      </c>
      <c r="Q362" s="86">
        <f t="shared" si="93"/>
        <v>503.31890688348636</v>
      </c>
      <c r="R362" s="86">
        <f t="shared" si="93"/>
        <v>565.8233259979191</v>
      </c>
      <c r="S362" s="86">
        <f t="shared" si="93"/>
        <v>623.7378080421199</v>
      </c>
      <c r="T362" s="86">
        <f t="shared" si="93"/>
        <v>678.0395318293648</v>
      </c>
      <c r="U362" s="87">
        <f t="shared" si="93"/>
        <v>729.3964608059581</v>
      </c>
      <c r="V362" s="15"/>
      <c r="W362" s="96">
        <f t="shared" si="83"/>
        <v>575.0712204071813</v>
      </c>
      <c r="X362" s="97">
        <f t="shared" si="84"/>
        <v>296.60319355014764</v>
      </c>
      <c r="Y362" s="98">
        <f t="shared" si="85"/>
        <v>573.2540295525728</v>
      </c>
      <c r="Z362" s="97">
        <f t="shared" si="86"/>
        <v>297.2744751837624</v>
      </c>
      <c r="AA362" s="98">
        <f t="shared" si="87"/>
        <v>573.1214910689719</v>
      </c>
      <c r="AB362" s="98">
        <f t="shared" si="88"/>
        <v>297.32357846819275</v>
      </c>
      <c r="AC362" s="91"/>
      <c r="AD362" s="92">
        <f t="shared" si="89"/>
        <v>573.1208436271421</v>
      </c>
    </row>
    <row r="363" spans="1:30" ht="11.25">
      <c r="A363" s="15"/>
      <c r="B363" s="93">
        <f>IF(C363&gt;$K$1,0,'Ranges and Data'!$A$10)</f>
        <v>535.2234266961229</v>
      </c>
      <c r="C363" s="94">
        <f t="shared" si="90"/>
        <v>41844.499999999345</v>
      </c>
      <c r="D363" s="85">
        <f t="shared" si="81"/>
        <v>0.5000000000017941</v>
      </c>
      <c r="E363" s="15"/>
      <c r="F363" s="21"/>
      <c r="G363" s="21"/>
      <c r="H363" s="21"/>
      <c r="I363" s="21"/>
      <c r="J363" s="21"/>
      <c r="K363" s="21"/>
      <c r="L363" s="21"/>
      <c r="M363" s="15"/>
      <c r="N363" s="42"/>
      <c r="O363" s="86">
        <f t="shared" si="93"/>
        <v>378.4601144662589</v>
      </c>
      <c r="P363" s="86">
        <f t="shared" si="93"/>
        <v>447.8000463809505</v>
      </c>
      <c r="Q363" s="86">
        <f t="shared" si="93"/>
        <v>507.75752563187933</v>
      </c>
      <c r="R363" s="86">
        <f t="shared" si="93"/>
        <v>561.3470656669382</v>
      </c>
      <c r="S363" s="86">
        <f t="shared" si="93"/>
        <v>610.2485980565566</v>
      </c>
      <c r="T363" s="86">
        <f t="shared" si="93"/>
        <v>655.5121468951855</v>
      </c>
      <c r="U363" s="87">
        <f t="shared" si="93"/>
        <v>697.845970128298</v>
      </c>
      <c r="V363" s="15"/>
      <c r="W363" s="96">
        <f t="shared" si="83"/>
        <v>569.2019990688119</v>
      </c>
      <c r="X363" s="97">
        <f t="shared" si="84"/>
        <v>251.6366043637729</v>
      </c>
      <c r="Y363" s="98">
        <f t="shared" si="85"/>
        <v>567.6599554180493</v>
      </c>
      <c r="Z363" s="97">
        <f t="shared" si="86"/>
        <v>252.32017315236234</v>
      </c>
      <c r="AA363" s="98">
        <f t="shared" si="87"/>
        <v>567.5474577492151</v>
      </c>
      <c r="AB363" s="98">
        <f t="shared" si="88"/>
        <v>252.37018735098425</v>
      </c>
      <c r="AC363" s="91"/>
      <c r="AD363" s="92">
        <f t="shared" si="89"/>
        <v>567.5469081963344</v>
      </c>
    </row>
    <row r="364" spans="1:30" ht="11.25">
      <c r="A364" s="15"/>
      <c r="B364" s="93">
        <f>IF(C364&gt;$K$1,0,'Ranges and Data'!$A$10)</f>
        <v>535.2234266961229</v>
      </c>
      <c r="C364" s="94">
        <f t="shared" si="90"/>
        <v>41874.91666666601</v>
      </c>
      <c r="D364" s="85">
        <f t="shared" si="81"/>
        <v>0.41666666666846736</v>
      </c>
      <c r="E364" s="15"/>
      <c r="F364" s="21"/>
      <c r="G364" s="21"/>
      <c r="H364" s="21"/>
      <c r="I364" s="21"/>
      <c r="J364" s="21"/>
      <c r="K364" s="21"/>
      <c r="L364" s="21"/>
      <c r="M364" s="15"/>
      <c r="N364" s="42"/>
      <c r="O364" s="86">
        <f t="shared" si="93"/>
        <v>400.96452396399394</v>
      </c>
      <c r="P364" s="86">
        <f t="shared" si="93"/>
        <v>461.3097469895145</v>
      </c>
      <c r="Q364" s="86">
        <f t="shared" si="93"/>
        <v>512.2352872301119</v>
      </c>
      <c r="R364" s="86">
        <f t="shared" si="93"/>
        <v>556.9062172845818</v>
      </c>
      <c r="S364" s="86">
        <f t="shared" si="93"/>
        <v>597.0511112657211</v>
      </c>
      <c r="T364" s="86">
        <f t="shared" si="93"/>
        <v>633.7332184272591</v>
      </c>
      <c r="U364" s="87">
        <f t="shared" si="93"/>
        <v>667.6602152500154</v>
      </c>
      <c r="V364" s="15"/>
      <c r="W364" s="96">
        <f t="shared" si="83"/>
        <v>563.3926794572137</v>
      </c>
      <c r="X364" s="97">
        <f t="shared" si="84"/>
        <v>207.55698476998543</v>
      </c>
      <c r="Y364" s="98">
        <f t="shared" si="85"/>
        <v>562.1204708089532</v>
      </c>
      <c r="Z364" s="97">
        <f t="shared" si="86"/>
        <v>208.21493157033538</v>
      </c>
      <c r="AA364" s="98">
        <f t="shared" si="87"/>
        <v>562.0276360546268</v>
      </c>
      <c r="AB364" s="98">
        <f t="shared" si="88"/>
        <v>208.26308277688275</v>
      </c>
      <c r="AC364" s="91"/>
      <c r="AD364" s="92">
        <f t="shared" si="89"/>
        <v>562.0271825478654</v>
      </c>
    </row>
    <row r="365" spans="1:30" ht="11.25">
      <c r="A365" s="15"/>
      <c r="B365" s="93">
        <f>IF(C365&gt;$K$1,0,'Ranges and Data'!$A$10)</f>
        <v>535.2234266961229</v>
      </c>
      <c r="C365" s="94">
        <f t="shared" si="90"/>
        <v>41905.333333332674</v>
      </c>
      <c r="D365" s="85">
        <f t="shared" si="81"/>
        <v>0.3333333333351407</v>
      </c>
      <c r="E365" s="15"/>
      <c r="F365" s="21"/>
      <c r="G365" s="21"/>
      <c r="H365" s="21"/>
      <c r="I365" s="21"/>
      <c r="J365" s="21"/>
      <c r="K365" s="21"/>
      <c r="L365" s="21"/>
      <c r="M365" s="15"/>
      <c r="N365" s="42"/>
      <c r="O365" s="86">
        <f t="shared" si="93"/>
        <v>424.80711528719286</v>
      </c>
      <c r="P365" s="86">
        <f t="shared" si="93"/>
        <v>475.22702238956873</v>
      </c>
      <c r="Q365" s="86">
        <f t="shared" si="93"/>
        <v>516.7525368672577</v>
      </c>
      <c r="R365" s="86">
        <f t="shared" si="93"/>
        <v>552.5005007049215</v>
      </c>
      <c r="S365" s="86">
        <f t="shared" si="93"/>
        <v>584.139038744003</v>
      </c>
      <c r="T365" s="86">
        <f t="shared" si="93"/>
        <v>612.6778794877001</v>
      </c>
      <c r="U365" s="87">
        <f t="shared" si="93"/>
        <v>638.7801636881885</v>
      </c>
      <c r="V365" s="15"/>
      <c r="W365" s="96">
        <f t="shared" si="83"/>
        <v>557.6426502107316</v>
      </c>
      <c r="X365" s="97">
        <f t="shared" si="84"/>
        <v>164.3509137087401</v>
      </c>
      <c r="Y365" s="98">
        <f t="shared" si="85"/>
        <v>556.6350430158109</v>
      </c>
      <c r="Z365" s="97">
        <f t="shared" si="86"/>
        <v>164.946460283893</v>
      </c>
      <c r="AA365" s="98">
        <f t="shared" si="87"/>
        <v>556.5614987367792</v>
      </c>
      <c r="AB365" s="98">
        <f t="shared" si="88"/>
        <v>164.99005535835283</v>
      </c>
      <c r="AC365" s="91"/>
      <c r="AD365" s="92">
        <f t="shared" si="89"/>
        <v>556.5611394598939</v>
      </c>
    </row>
    <row r="366" spans="1:30" ht="11.25">
      <c r="A366" s="15"/>
      <c r="B366" s="93">
        <f>IF(C366&gt;$K$1,0,'Ranges and Data'!$A$10)</f>
        <v>535.2234266961229</v>
      </c>
      <c r="C366" s="94">
        <f t="shared" si="90"/>
        <v>41935.74999999934</v>
      </c>
      <c r="D366" s="85">
        <f t="shared" si="81"/>
        <v>0.250000000001814</v>
      </c>
      <c r="E366" s="15"/>
      <c r="F366" s="21"/>
      <c r="G366" s="21"/>
      <c r="H366" s="21"/>
      <c r="I366" s="21"/>
      <c r="J366" s="21"/>
      <c r="K366" s="21"/>
      <c r="L366" s="21"/>
      <c r="M366" s="15"/>
      <c r="N366" s="42"/>
      <c r="O366" s="86">
        <f t="shared" si="93"/>
        <v>450.06746086801314</v>
      </c>
      <c r="P366" s="86">
        <f t="shared" si="93"/>
        <v>489.56416872411967</v>
      </c>
      <c r="Q366" s="86">
        <f t="shared" si="93"/>
        <v>521.3096227765093</v>
      </c>
      <c r="R366" s="86">
        <f t="shared" si="93"/>
        <v>548.1296379982793</v>
      </c>
      <c r="S366" s="86">
        <f t="shared" si="93"/>
        <v>571.5062080052081</v>
      </c>
      <c r="T366" s="86">
        <f t="shared" si="93"/>
        <v>592.3220893250854</v>
      </c>
      <c r="U366" s="87">
        <f t="shared" si="93"/>
        <v>611.1493364461026</v>
      </c>
      <c r="V366" s="15"/>
      <c r="W366" s="96">
        <f t="shared" si="83"/>
        <v>551.9513062073154</v>
      </c>
      <c r="X366" s="97">
        <f t="shared" si="84"/>
        <v>122.00515168243155</v>
      </c>
      <c r="Y366" s="98">
        <f t="shared" si="85"/>
        <v>551.2031445275709</v>
      </c>
      <c r="Z366" s="97">
        <f t="shared" si="86"/>
        <v>122.50262815122224</v>
      </c>
      <c r="AA366" s="98">
        <f t="shared" si="87"/>
        <v>551.1485236751282</v>
      </c>
      <c r="AB366" s="98">
        <f t="shared" si="88"/>
        <v>122.5390531482942</v>
      </c>
      <c r="AC366" s="91"/>
      <c r="AD366" s="92">
        <f t="shared" si="89"/>
        <v>551.1482568381192</v>
      </c>
    </row>
    <row r="367" spans="1:30" ht="11.25">
      <c r="A367" s="15"/>
      <c r="B367" s="93">
        <f>IF(C367&gt;$K$1,0,'Ranges and Data'!$A$10)</f>
        <v>535.2234266961229</v>
      </c>
      <c r="C367" s="94">
        <f t="shared" si="90"/>
        <v>41966.166666666</v>
      </c>
      <c r="D367" s="85">
        <f t="shared" si="81"/>
        <v>0.1666666666684873</v>
      </c>
      <c r="E367" s="15"/>
      <c r="F367" s="21"/>
      <c r="G367" s="21"/>
      <c r="H367" s="21"/>
      <c r="I367" s="21"/>
      <c r="J367" s="21"/>
      <c r="K367" s="21"/>
      <c r="L367" s="21"/>
      <c r="M367" s="15"/>
      <c r="N367" s="42"/>
      <c r="O367" s="86">
        <f t="shared" si="93"/>
        <v>476.82986476165405</v>
      </c>
      <c r="P367" s="86">
        <f t="shared" si="93"/>
        <v>504.3338530990892</v>
      </c>
      <c r="Q367" s="86">
        <f t="shared" si="93"/>
        <v>525.9068962620236</v>
      </c>
      <c r="R367" s="86">
        <f t="shared" si="93"/>
        <v>543.793353433695</v>
      </c>
      <c r="S367" s="86">
        <f t="shared" si="93"/>
        <v>559.1465800518636</v>
      </c>
      <c r="T367" s="86">
        <f t="shared" si="93"/>
        <v>572.6426059249914</v>
      </c>
      <c r="U367" s="87">
        <f t="shared" si="93"/>
        <v>584.7136975606397</v>
      </c>
      <c r="V367" s="15"/>
      <c r="W367" s="96">
        <f t="shared" si="83"/>
        <v>546.3180485008368</v>
      </c>
      <c r="X367" s="97">
        <f t="shared" si="84"/>
        <v>80.50663844780499</v>
      </c>
      <c r="Y367" s="98">
        <f t="shared" si="85"/>
        <v>545.8242529808751</v>
      </c>
      <c r="Z367" s="97">
        <f t="shared" si="86"/>
        <v>80.87146110942346</v>
      </c>
      <c r="AA367" s="98">
        <f t="shared" si="87"/>
        <v>545.7881938271411</v>
      </c>
      <c r="AB367" s="98">
        <f t="shared" si="88"/>
        <v>80.89817973247824</v>
      </c>
      <c r="AC367" s="91"/>
      <c r="AD367" s="92">
        <f t="shared" si="89"/>
        <v>545.7880176659132</v>
      </c>
    </row>
    <row r="368" spans="1:30" ht="11.25">
      <c r="A368" s="15"/>
      <c r="B368" s="93">
        <f>IF(C368&gt;$K$1,0,'Ranges and Data'!$A$10)</f>
        <v>535.2234266961229</v>
      </c>
      <c r="C368" s="94">
        <f t="shared" si="90"/>
        <v>41996.58333333267</v>
      </c>
      <c r="D368" s="85">
        <f t="shared" si="81"/>
        <v>0.08333333333516063</v>
      </c>
      <c r="E368" s="15"/>
      <c r="F368" s="21"/>
      <c r="G368" s="21"/>
      <c r="H368" s="21"/>
      <c r="I368" s="21"/>
      <c r="J368" s="21"/>
      <c r="K368" s="21"/>
      <c r="L368" s="21"/>
      <c r="M368" s="15"/>
      <c r="N368" s="42"/>
      <c r="O368" s="86">
        <f t="shared" si="93"/>
        <v>505.183644003304</v>
      </c>
      <c r="P368" s="86">
        <f t="shared" si="93"/>
        <v>519.549124774912</v>
      </c>
      <c r="Q368" s="86">
        <f t="shared" si="93"/>
        <v>530.5447117260037</v>
      </c>
      <c r="R368" s="86">
        <f t="shared" si="93"/>
        <v>539.4913734615309</v>
      </c>
      <c r="S368" s="86">
        <f t="shared" si="93"/>
        <v>547.0542464883354</v>
      </c>
      <c r="T368" s="86">
        <f t="shared" si="93"/>
        <v>553.6169594725213</v>
      </c>
      <c r="U368" s="87">
        <f t="shared" si="93"/>
        <v>559.4215484273649</v>
      </c>
      <c r="V368" s="15"/>
      <c r="W368" s="96">
        <f t="shared" si="83"/>
        <v>540.7422842580582</v>
      </c>
      <c r="X368" s="97">
        <f t="shared" si="84"/>
        <v>39.84249073606804</v>
      </c>
      <c r="Y368" s="98">
        <f t="shared" si="85"/>
        <v>540.497851109825</v>
      </c>
      <c r="Z368" s="97">
        <f t="shared" si="86"/>
        <v>40.04114026403267</v>
      </c>
      <c r="AA368" s="98">
        <f t="shared" si="87"/>
        <v>540.4799971789085</v>
      </c>
      <c r="AB368" s="98">
        <f t="shared" si="88"/>
        <v>40.05569234419696</v>
      </c>
      <c r="AC368" s="91"/>
      <c r="AD368" s="92">
        <f t="shared" si="89"/>
        <v>540.4799099549372</v>
      </c>
    </row>
    <row r="369" spans="1:30" ht="11.25">
      <c r="A369" s="15"/>
      <c r="B369" s="93">
        <f>IF(C369&gt;$K$1,0,'Ranges and Data'!$A$10)</f>
        <v>535.2234266961229</v>
      </c>
      <c r="C369" s="94">
        <f t="shared" si="90"/>
        <v>42026.99999999933</v>
      </c>
      <c r="D369" s="85">
        <f t="shared" si="81"/>
        <v>1.83394000138322E-12</v>
      </c>
      <c r="E369" s="15"/>
      <c r="F369" s="21"/>
      <c r="G369" s="21"/>
      <c r="H369" s="21"/>
      <c r="I369" s="21"/>
      <c r="J369" s="21"/>
      <c r="K369" s="21"/>
      <c r="L369" s="21"/>
      <c r="M369" s="15"/>
      <c r="N369" s="42"/>
      <c r="O369" s="86">
        <f t="shared" si="93"/>
        <v>535.2234266954425</v>
      </c>
      <c r="P369" s="86">
        <f t="shared" si="93"/>
        <v>535.2234266957728</v>
      </c>
      <c r="Q369" s="86">
        <f t="shared" si="93"/>
        <v>535.2234266960196</v>
      </c>
      <c r="R369" s="86">
        <f t="shared" si="93"/>
        <v>535.2234266962165</v>
      </c>
      <c r="S369" s="86">
        <f t="shared" si="93"/>
        <v>535.2234266963804</v>
      </c>
      <c r="T369" s="86">
        <f t="shared" si="93"/>
        <v>535.223426696521</v>
      </c>
      <c r="U369" s="87">
        <f t="shared" si="93"/>
        <v>535.2234266966439</v>
      </c>
      <c r="V369" s="15"/>
      <c r="W369" s="96">
        <f t="shared" si="83"/>
        <v>535.2234266962438</v>
      </c>
      <c r="X369" s="97">
        <f t="shared" si="84"/>
        <v>8.678759079537055E-10</v>
      </c>
      <c r="Y369" s="98">
        <f t="shared" si="85"/>
        <v>535.2234266962384</v>
      </c>
      <c r="Z369" s="97">
        <f t="shared" si="86"/>
        <v>8.725974679816204E-10</v>
      </c>
      <c r="AA369" s="98">
        <f t="shared" si="87"/>
        <v>535.2234266962381</v>
      </c>
      <c r="AB369" s="98">
        <f t="shared" si="88"/>
        <v>8.729434299224282E-10</v>
      </c>
      <c r="AC369" s="91"/>
      <c r="AD369" s="92">
        <f t="shared" si="89"/>
        <v>535.2234266962381</v>
      </c>
    </row>
    <row r="370" spans="1:30" ht="11.25">
      <c r="A370" s="15"/>
      <c r="B370" s="93">
        <f>IF(C370&gt;$K$1,0,'Ranges and Data'!$A$10)</f>
        <v>0</v>
      </c>
      <c r="C370" s="94">
        <f t="shared" si="90"/>
        <v>42057.416666665995</v>
      </c>
      <c r="D370" s="85">
        <f t="shared" si="81"/>
        <v>0</v>
      </c>
      <c r="E370" s="15"/>
      <c r="F370" s="21"/>
      <c r="G370" s="21"/>
      <c r="H370" s="21"/>
      <c r="I370" s="21"/>
      <c r="J370" s="21"/>
      <c r="K370" s="21"/>
      <c r="L370" s="21"/>
      <c r="M370" s="15"/>
      <c r="N370" s="42"/>
      <c r="O370" s="86">
        <f t="shared" si="93"/>
        <v>0</v>
      </c>
      <c r="P370" s="86">
        <f t="shared" si="93"/>
        <v>0</v>
      </c>
      <c r="Q370" s="86">
        <f t="shared" si="93"/>
        <v>0</v>
      </c>
      <c r="R370" s="86">
        <f t="shared" si="93"/>
        <v>0</v>
      </c>
      <c r="S370" s="86">
        <f t="shared" si="93"/>
        <v>0</v>
      </c>
      <c r="T370" s="86">
        <f t="shared" si="93"/>
        <v>0</v>
      </c>
      <c r="U370" s="87">
        <f t="shared" si="93"/>
        <v>0</v>
      </c>
      <c r="V370" s="15"/>
      <c r="W370" s="96">
        <f t="shared" si="83"/>
        <v>0</v>
      </c>
      <c r="X370" s="97">
        <f t="shared" si="84"/>
        <v>0</v>
      </c>
      <c r="Y370" s="98">
        <f t="shared" si="85"/>
        <v>0</v>
      </c>
      <c r="Z370" s="97">
        <f t="shared" si="86"/>
        <v>0</v>
      </c>
      <c r="AA370" s="98">
        <f t="shared" si="87"/>
        <v>0</v>
      </c>
      <c r="AB370" s="98">
        <f t="shared" si="88"/>
        <v>0</v>
      </c>
      <c r="AC370" s="91"/>
      <c r="AD370" s="92">
        <f t="shared" si="89"/>
        <v>0</v>
      </c>
    </row>
    <row r="371" spans="1:30" ht="11.25">
      <c r="A371" s="15"/>
      <c r="B371" s="93">
        <f>IF(C371&gt;$K$1,0,'Ranges and Data'!$A$10)</f>
        <v>0</v>
      </c>
      <c r="C371" s="94">
        <f t="shared" si="90"/>
        <v>42087.83333333266</v>
      </c>
      <c r="D371" s="85">
        <f t="shared" si="81"/>
        <v>0</v>
      </c>
      <c r="E371" s="15"/>
      <c r="F371" s="21"/>
      <c r="G371" s="21"/>
      <c r="H371" s="21"/>
      <c r="I371" s="21"/>
      <c r="J371" s="21"/>
      <c r="K371" s="21"/>
      <c r="L371" s="21"/>
      <c r="M371" s="15"/>
      <c r="N371" s="42"/>
      <c r="O371" s="86">
        <f t="shared" si="93"/>
        <v>0</v>
      </c>
      <c r="P371" s="86">
        <f t="shared" si="93"/>
        <v>0</v>
      </c>
      <c r="Q371" s="86">
        <f t="shared" si="93"/>
        <v>0</v>
      </c>
      <c r="R371" s="86">
        <f t="shared" si="93"/>
        <v>0</v>
      </c>
      <c r="S371" s="86">
        <f t="shared" si="93"/>
        <v>0</v>
      </c>
      <c r="T371" s="86">
        <f t="shared" si="93"/>
        <v>0</v>
      </c>
      <c r="U371" s="87">
        <f t="shared" si="93"/>
        <v>0</v>
      </c>
      <c r="V371" s="15"/>
      <c r="W371" s="96">
        <f t="shared" si="83"/>
        <v>0</v>
      </c>
      <c r="X371" s="97">
        <f t="shared" si="84"/>
        <v>0</v>
      </c>
      <c r="Y371" s="98">
        <f t="shared" si="85"/>
        <v>0</v>
      </c>
      <c r="Z371" s="97">
        <f t="shared" si="86"/>
        <v>0</v>
      </c>
      <c r="AA371" s="98">
        <f t="shared" si="87"/>
        <v>0</v>
      </c>
      <c r="AB371" s="98">
        <f t="shared" si="88"/>
        <v>0</v>
      </c>
      <c r="AC371" s="91"/>
      <c r="AD371" s="92">
        <f t="shared" si="89"/>
        <v>0</v>
      </c>
    </row>
    <row r="372" spans="1:30" ht="11.25">
      <c r="A372" s="15"/>
      <c r="B372" s="93">
        <f>IF(C372&gt;$K$1,0,'Ranges and Data'!$A$10)</f>
        <v>0</v>
      </c>
      <c r="C372" s="94">
        <f t="shared" si="90"/>
        <v>42118.24999999932</v>
      </c>
      <c r="D372" s="85">
        <f t="shared" si="81"/>
        <v>0</v>
      </c>
      <c r="E372" s="15"/>
      <c r="F372" s="21"/>
      <c r="G372" s="21"/>
      <c r="H372" s="21"/>
      <c r="I372" s="21"/>
      <c r="J372" s="21"/>
      <c r="K372" s="21"/>
      <c r="L372" s="21"/>
      <c r="M372" s="15"/>
      <c r="N372" s="42"/>
      <c r="O372" s="86">
        <f t="shared" si="93"/>
        <v>0</v>
      </c>
      <c r="P372" s="86">
        <f t="shared" si="93"/>
        <v>0</v>
      </c>
      <c r="Q372" s="86">
        <f t="shared" si="93"/>
        <v>0</v>
      </c>
      <c r="R372" s="86">
        <f t="shared" si="93"/>
        <v>0</v>
      </c>
      <c r="S372" s="86">
        <f t="shared" si="93"/>
        <v>0</v>
      </c>
      <c r="T372" s="86">
        <f t="shared" si="93"/>
        <v>0</v>
      </c>
      <c r="U372" s="87">
        <f t="shared" si="93"/>
        <v>0</v>
      </c>
      <c r="V372" s="15"/>
      <c r="W372" s="96">
        <f t="shared" si="83"/>
        <v>0</v>
      </c>
      <c r="X372" s="97">
        <f t="shared" si="84"/>
        <v>0</v>
      </c>
      <c r="Y372" s="98">
        <f t="shared" si="85"/>
        <v>0</v>
      </c>
      <c r="Z372" s="97">
        <f t="shared" si="86"/>
        <v>0</v>
      </c>
      <c r="AA372" s="98">
        <f t="shared" si="87"/>
        <v>0</v>
      </c>
      <c r="AB372" s="98">
        <f t="shared" si="88"/>
        <v>0</v>
      </c>
      <c r="AC372" s="91"/>
      <c r="AD372" s="92">
        <f t="shared" si="89"/>
        <v>0</v>
      </c>
    </row>
    <row r="373" spans="1:30" ht="11.25">
      <c r="A373" s="15"/>
      <c r="B373" s="93">
        <f>IF(C373&gt;$K$1,0,'Ranges and Data'!$A$10)</f>
        <v>0</v>
      </c>
      <c r="C373" s="94">
        <f aca="true" t="shared" si="94" ref="C373:C383">C372+(365/12)</f>
        <v>42148.66666666599</v>
      </c>
      <c r="D373" s="85">
        <f aca="true" t="shared" si="95" ref="D373:D383">IF(B373&lt;&gt;0,$K$1-C373,0)/365</f>
        <v>0</v>
      </c>
      <c r="E373" s="15"/>
      <c r="F373" s="21"/>
      <c r="G373" s="21"/>
      <c r="H373" s="21"/>
      <c r="I373" s="21"/>
      <c r="J373" s="21"/>
      <c r="K373" s="21"/>
      <c r="L373" s="21"/>
      <c r="M373" s="15"/>
      <c r="N373" s="42"/>
      <c r="O373" s="86">
        <f t="shared" si="93"/>
        <v>0</v>
      </c>
      <c r="P373" s="86">
        <f t="shared" si="93"/>
        <v>0</v>
      </c>
      <c r="Q373" s="86">
        <f t="shared" si="93"/>
        <v>0</v>
      </c>
      <c r="R373" s="86">
        <f t="shared" si="93"/>
        <v>0</v>
      </c>
      <c r="S373" s="86">
        <f t="shared" si="93"/>
        <v>0</v>
      </c>
      <c r="T373" s="86">
        <f t="shared" si="93"/>
        <v>0</v>
      </c>
      <c r="U373" s="87">
        <f t="shared" si="93"/>
        <v>0</v>
      </c>
      <c r="V373" s="15"/>
      <c r="W373" s="96">
        <f aca="true" t="shared" si="96" ref="W373:W383">$B373*I$3^$D373</f>
        <v>0</v>
      </c>
      <c r="X373" s="97">
        <f aca="true" t="shared" si="97" ref="X373:X383">W373*$D373/I$3</f>
        <v>0</v>
      </c>
      <c r="Y373" s="98">
        <f aca="true" t="shared" si="98" ref="Y373:Y383">$B373*I$4^$D373</f>
        <v>0</v>
      </c>
      <c r="Z373" s="97">
        <f aca="true" t="shared" si="99" ref="Z373:Z383">Y373*$D373/I$4</f>
        <v>0</v>
      </c>
      <c r="AA373" s="98">
        <f aca="true" t="shared" si="100" ref="AA373:AA383">$B373*I$5^$D373</f>
        <v>0</v>
      </c>
      <c r="AB373" s="98">
        <f aca="true" t="shared" si="101" ref="AB373:AB383">AA373*$D373/I$5</f>
        <v>0</v>
      </c>
      <c r="AC373" s="91"/>
      <c r="AD373" s="92">
        <f t="shared" si="89"/>
        <v>0</v>
      </c>
    </row>
    <row r="374" spans="1:30" ht="11.25">
      <c r="A374" s="15"/>
      <c r="B374" s="93">
        <f>IF(C374&gt;$K$1,0,'Ranges and Data'!$A$10)</f>
        <v>0</v>
      </c>
      <c r="C374" s="94">
        <f t="shared" si="94"/>
        <v>42179.08333333265</v>
      </c>
      <c r="D374" s="85">
        <f t="shared" si="95"/>
        <v>0</v>
      </c>
      <c r="E374" s="15"/>
      <c r="F374" s="21"/>
      <c r="G374" s="21"/>
      <c r="H374" s="21"/>
      <c r="I374" s="21"/>
      <c r="J374" s="21"/>
      <c r="K374" s="21"/>
      <c r="L374" s="21"/>
      <c r="M374" s="15"/>
      <c r="N374" s="42"/>
      <c r="O374" s="86">
        <f t="shared" si="93"/>
        <v>0</v>
      </c>
      <c r="P374" s="86">
        <f t="shared" si="93"/>
        <v>0</v>
      </c>
      <c r="Q374" s="86">
        <f t="shared" si="93"/>
        <v>0</v>
      </c>
      <c r="R374" s="86">
        <f t="shared" si="93"/>
        <v>0</v>
      </c>
      <c r="S374" s="86">
        <f t="shared" si="93"/>
        <v>0</v>
      </c>
      <c r="T374" s="86">
        <f t="shared" si="93"/>
        <v>0</v>
      </c>
      <c r="U374" s="87">
        <f t="shared" si="93"/>
        <v>0</v>
      </c>
      <c r="V374" s="15"/>
      <c r="W374" s="96">
        <f t="shared" si="96"/>
        <v>0</v>
      </c>
      <c r="X374" s="97">
        <f t="shared" si="97"/>
        <v>0</v>
      </c>
      <c r="Y374" s="98">
        <f t="shared" si="98"/>
        <v>0</v>
      </c>
      <c r="Z374" s="97">
        <f t="shared" si="99"/>
        <v>0</v>
      </c>
      <c r="AA374" s="98">
        <f t="shared" si="100"/>
        <v>0</v>
      </c>
      <c r="AB374" s="98">
        <f t="shared" si="101"/>
        <v>0</v>
      </c>
      <c r="AC374" s="91"/>
      <c r="AD374" s="92">
        <f t="shared" si="89"/>
        <v>0</v>
      </c>
    </row>
    <row r="375" spans="1:30" ht="11.25">
      <c r="A375" s="15"/>
      <c r="B375" s="93">
        <f>IF(C375&gt;$K$1,0,'Ranges and Data'!$A$10)</f>
        <v>0</v>
      </c>
      <c r="C375" s="94">
        <f t="shared" si="94"/>
        <v>42209.499999999316</v>
      </c>
      <c r="D375" s="85">
        <f t="shared" si="95"/>
        <v>0</v>
      </c>
      <c r="E375" s="15"/>
      <c r="F375" s="21"/>
      <c r="G375" s="21"/>
      <c r="H375" s="21"/>
      <c r="I375" s="21"/>
      <c r="J375" s="21"/>
      <c r="K375" s="21"/>
      <c r="L375" s="21"/>
      <c r="M375" s="15"/>
      <c r="N375" s="42"/>
      <c r="O375" s="86">
        <f aca="true" t="shared" si="102" ref="O375:U390">$B375*O$7^$D375</f>
        <v>0</v>
      </c>
      <c r="P375" s="86">
        <f t="shared" si="102"/>
        <v>0</v>
      </c>
      <c r="Q375" s="86">
        <f t="shared" si="102"/>
        <v>0</v>
      </c>
      <c r="R375" s="86">
        <f t="shared" si="102"/>
        <v>0</v>
      </c>
      <c r="S375" s="86">
        <f t="shared" si="102"/>
        <v>0</v>
      </c>
      <c r="T375" s="86">
        <f t="shared" si="102"/>
        <v>0</v>
      </c>
      <c r="U375" s="87">
        <f t="shared" si="102"/>
        <v>0</v>
      </c>
      <c r="V375" s="15"/>
      <c r="W375" s="96">
        <f t="shared" si="96"/>
        <v>0</v>
      </c>
      <c r="X375" s="97">
        <f t="shared" si="97"/>
        <v>0</v>
      </c>
      <c r="Y375" s="98">
        <f t="shared" si="98"/>
        <v>0</v>
      </c>
      <c r="Z375" s="97">
        <f t="shared" si="99"/>
        <v>0</v>
      </c>
      <c r="AA375" s="98">
        <f t="shared" si="100"/>
        <v>0</v>
      </c>
      <c r="AB375" s="98">
        <f t="shared" si="101"/>
        <v>0</v>
      </c>
      <c r="AC375" s="91"/>
      <c r="AD375" s="92">
        <f t="shared" si="89"/>
        <v>0</v>
      </c>
    </row>
    <row r="376" spans="1:30" ht="11.25">
      <c r="A376" s="15"/>
      <c r="B376" s="93">
        <f>IF(C376&gt;$K$1,0,'Ranges and Data'!$A$10)</f>
        <v>0</v>
      </c>
      <c r="C376" s="94">
        <f t="shared" si="94"/>
        <v>42239.91666666598</v>
      </c>
      <c r="D376" s="85">
        <f t="shared" si="95"/>
        <v>0</v>
      </c>
      <c r="E376" s="15"/>
      <c r="F376" s="21"/>
      <c r="G376" s="21"/>
      <c r="H376" s="21"/>
      <c r="I376" s="21"/>
      <c r="J376" s="21"/>
      <c r="K376" s="21"/>
      <c r="L376" s="21"/>
      <c r="M376" s="15"/>
      <c r="N376" s="42"/>
      <c r="O376" s="86">
        <f t="shared" si="102"/>
        <v>0</v>
      </c>
      <c r="P376" s="86">
        <f t="shared" si="102"/>
        <v>0</v>
      </c>
      <c r="Q376" s="86">
        <f t="shared" si="102"/>
        <v>0</v>
      </c>
      <c r="R376" s="86">
        <f t="shared" si="102"/>
        <v>0</v>
      </c>
      <c r="S376" s="86">
        <f t="shared" si="102"/>
        <v>0</v>
      </c>
      <c r="T376" s="86">
        <f t="shared" si="102"/>
        <v>0</v>
      </c>
      <c r="U376" s="87">
        <f t="shared" si="102"/>
        <v>0</v>
      </c>
      <c r="V376" s="15"/>
      <c r="W376" s="96">
        <f t="shared" si="96"/>
        <v>0</v>
      </c>
      <c r="X376" s="97">
        <f t="shared" si="97"/>
        <v>0</v>
      </c>
      <c r="Y376" s="98">
        <f t="shared" si="98"/>
        <v>0</v>
      </c>
      <c r="Z376" s="97">
        <f t="shared" si="99"/>
        <v>0</v>
      </c>
      <c r="AA376" s="98">
        <f t="shared" si="100"/>
        <v>0</v>
      </c>
      <c r="AB376" s="98">
        <f t="shared" si="101"/>
        <v>0</v>
      </c>
      <c r="AC376" s="91"/>
      <c r="AD376" s="92">
        <f t="shared" si="89"/>
        <v>0</v>
      </c>
    </row>
    <row r="377" spans="1:30" ht="11.25">
      <c r="A377" s="15"/>
      <c r="B377" s="93">
        <f>IF(C377&gt;$K$1,0,'Ranges and Data'!$A$10)</f>
        <v>0</v>
      </c>
      <c r="C377" s="94">
        <f t="shared" si="94"/>
        <v>42270.333333332645</v>
      </c>
      <c r="D377" s="85">
        <f t="shared" si="95"/>
        <v>0</v>
      </c>
      <c r="E377" s="15"/>
      <c r="F377" s="21"/>
      <c r="G377" s="21"/>
      <c r="H377" s="21"/>
      <c r="I377" s="21"/>
      <c r="J377" s="21"/>
      <c r="K377" s="21"/>
      <c r="L377" s="21"/>
      <c r="M377" s="15"/>
      <c r="N377" s="42"/>
      <c r="O377" s="86">
        <f t="shared" si="102"/>
        <v>0</v>
      </c>
      <c r="P377" s="86">
        <f t="shared" si="102"/>
        <v>0</v>
      </c>
      <c r="Q377" s="86">
        <f t="shared" si="102"/>
        <v>0</v>
      </c>
      <c r="R377" s="86">
        <f t="shared" si="102"/>
        <v>0</v>
      </c>
      <c r="S377" s="86">
        <f t="shared" si="102"/>
        <v>0</v>
      </c>
      <c r="T377" s="86">
        <f t="shared" si="102"/>
        <v>0</v>
      </c>
      <c r="U377" s="87">
        <f t="shared" si="102"/>
        <v>0</v>
      </c>
      <c r="V377" s="15"/>
      <c r="W377" s="96">
        <f t="shared" si="96"/>
        <v>0</v>
      </c>
      <c r="X377" s="97">
        <f t="shared" si="97"/>
        <v>0</v>
      </c>
      <c r="Y377" s="98">
        <f t="shared" si="98"/>
        <v>0</v>
      </c>
      <c r="Z377" s="97">
        <f t="shared" si="99"/>
        <v>0</v>
      </c>
      <c r="AA377" s="98">
        <f t="shared" si="100"/>
        <v>0</v>
      </c>
      <c r="AB377" s="98">
        <f t="shared" si="101"/>
        <v>0</v>
      </c>
      <c r="AC377" s="91"/>
      <c r="AD377" s="92">
        <f t="shared" si="89"/>
        <v>0</v>
      </c>
    </row>
    <row r="378" spans="1:30" ht="11.25">
      <c r="A378" s="15"/>
      <c r="B378" s="93">
        <f>IF(C378&gt;$K$1,0,'Ranges and Data'!$A$10)</f>
        <v>0</v>
      </c>
      <c r="C378" s="94">
        <f t="shared" si="94"/>
        <v>42300.74999999931</v>
      </c>
      <c r="D378" s="85">
        <f t="shared" si="95"/>
        <v>0</v>
      </c>
      <c r="E378" s="15"/>
      <c r="F378" s="21"/>
      <c r="G378" s="21"/>
      <c r="H378" s="21"/>
      <c r="I378" s="21"/>
      <c r="J378" s="21"/>
      <c r="K378" s="21"/>
      <c r="L378" s="21"/>
      <c r="M378" s="15"/>
      <c r="N378" s="42"/>
      <c r="O378" s="86">
        <f t="shared" si="102"/>
        <v>0</v>
      </c>
      <c r="P378" s="86">
        <f t="shared" si="102"/>
        <v>0</v>
      </c>
      <c r="Q378" s="86">
        <f t="shared" si="102"/>
        <v>0</v>
      </c>
      <c r="R378" s="86">
        <f t="shared" si="102"/>
        <v>0</v>
      </c>
      <c r="S378" s="86">
        <f t="shared" si="102"/>
        <v>0</v>
      </c>
      <c r="T378" s="86">
        <f t="shared" si="102"/>
        <v>0</v>
      </c>
      <c r="U378" s="87">
        <f t="shared" si="102"/>
        <v>0</v>
      </c>
      <c r="V378" s="15"/>
      <c r="W378" s="96">
        <f t="shared" si="96"/>
        <v>0</v>
      </c>
      <c r="X378" s="97">
        <f t="shared" si="97"/>
        <v>0</v>
      </c>
      <c r="Y378" s="98">
        <f t="shared" si="98"/>
        <v>0</v>
      </c>
      <c r="Z378" s="97">
        <f t="shared" si="99"/>
        <v>0</v>
      </c>
      <c r="AA378" s="98">
        <f t="shared" si="100"/>
        <v>0</v>
      </c>
      <c r="AB378" s="98">
        <f t="shared" si="101"/>
        <v>0</v>
      </c>
      <c r="AC378" s="91"/>
      <c r="AD378" s="92">
        <f t="shared" si="89"/>
        <v>0</v>
      </c>
    </row>
    <row r="379" spans="1:30" ht="11.25">
      <c r="A379" s="15"/>
      <c r="B379" s="93">
        <f>IF(C379&gt;$K$1,0,'Ranges and Data'!$A$10)</f>
        <v>0</v>
      </c>
      <c r="C379" s="94">
        <f t="shared" si="94"/>
        <v>42331.16666666597</v>
      </c>
      <c r="D379" s="85">
        <f t="shared" si="95"/>
        <v>0</v>
      </c>
      <c r="E379" s="15"/>
      <c r="F379" s="21"/>
      <c r="G379" s="21"/>
      <c r="H379" s="21"/>
      <c r="I379" s="21"/>
      <c r="J379" s="21"/>
      <c r="K379" s="21"/>
      <c r="L379" s="21"/>
      <c r="M379" s="15"/>
      <c r="N379" s="42"/>
      <c r="O379" s="86">
        <f t="shared" si="102"/>
        <v>0</v>
      </c>
      <c r="P379" s="86">
        <f t="shared" si="102"/>
        <v>0</v>
      </c>
      <c r="Q379" s="86">
        <f t="shared" si="102"/>
        <v>0</v>
      </c>
      <c r="R379" s="86">
        <f t="shared" si="102"/>
        <v>0</v>
      </c>
      <c r="S379" s="86">
        <f t="shared" si="102"/>
        <v>0</v>
      </c>
      <c r="T379" s="86">
        <f t="shared" si="102"/>
        <v>0</v>
      </c>
      <c r="U379" s="87">
        <f t="shared" si="102"/>
        <v>0</v>
      </c>
      <c r="V379" s="15"/>
      <c r="W379" s="96">
        <f t="shared" si="96"/>
        <v>0</v>
      </c>
      <c r="X379" s="97">
        <f t="shared" si="97"/>
        <v>0</v>
      </c>
      <c r="Y379" s="98">
        <f t="shared" si="98"/>
        <v>0</v>
      </c>
      <c r="Z379" s="97">
        <f t="shared" si="99"/>
        <v>0</v>
      </c>
      <c r="AA379" s="98">
        <f t="shared" si="100"/>
        <v>0</v>
      </c>
      <c r="AB379" s="98">
        <f t="shared" si="101"/>
        <v>0</v>
      </c>
      <c r="AC379" s="91"/>
      <c r="AD379" s="92">
        <f t="shared" si="89"/>
        <v>0</v>
      </c>
    </row>
    <row r="380" spans="1:30" ht="11.25">
      <c r="A380" s="15"/>
      <c r="B380" s="93">
        <f>IF(C380&gt;$K$1,0,'Ranges and Data'!$A$10)</f>
        <v>0</v>
      </c>
      <c r="C380" s="94">
        <f t="shared" si="94"/>
        <v>42361.58333333264</v>
      </c>
      <c r="D380" s="85">
        <f t="shared" si="95"/>
        <v>0</v>
      </c>
      <c r="E380" s="15"/>
      <c r="F380" s="21"/>
      <c r="G380" s="21"/>
      <c r="H380" s="21"/>
      <c r="I380" s="21"/>
      <c r="J380" s="21"/>
      <c r="K380" s="21"/>
      <c r="L380" s="21"/>
      <c r="M380" s="15"/>
      <c r="N380" s="42"/>
      <c r="O380" s="86">
        <f t="shared" si="102"/>
        <v>0</v>
      </c>
      <c r="P380" s="86">
        <f t="shared" si="102"/>
        <v>0</v>
      </c>
      <c r="Q380" s="86">
        <f t="shared" si="102"/>
        <v>0</v>
      </c>
      <c r="R380" s="86">
        <f t="shared" si="102"/>
        <v>0</v>
      </c>
      <c r="S380" s="86">
        <f t="shared" si="102"/>
        <v>0</v>
      </c>
      <c r="T380" s="86">
        <f t="shared" si="102"/>
        <v>0</v>
      </c>
      <c r="U380" s="87">
        <f t="shared" si="102"/>
        <v>0</v>
      </c>
      <c r="V380" s="15"/>
      <c r="W380" s="96">
        <f t="shared" si="96"/>
        <v>0</v>
      </c>
      <c r="X380" s="97">
        <f t="shared" si="97"/>
        <v>0</v>
      </c>
      <c r="Y380" s="98">
        <f t="shared" si="98"/>
        <v>0</v>
      </c>
      <c r="Z380" s="97">
        <f t="shared" si="99"/>
        <v>0</v>
      </c>
      <c r="AA380" s="98">
        <f t="shared" si="100"/>
        <v>0</v>
      </c>
      <c r="AB380" s="98">
        <f t="shared" si="101"/>
        <v>0</v>
      </c>
      <c r="AC380" s="91"/>
      <c r="AD380" s="92">
        <f t="shared" si="89"/>
        <v>0</v>
      </c>
    </row>
    <row r="381" spans="1:30" ht="11.25">
      <c r="A381" s="15"/>
      <c r="B381" s="93">
        <f>IF(C381&gt;$K$1,0,'Ranges and Data'!$A$10)</f>
        <v>0</v>
      </c>
      <c r="C381" s="94">
        <f t="shared" si="94"/>
        <v>42391.9999999993</v>
      </c>
      <c r="D381" s="85">
        <f t="shared" si="95"/>
        <v>0</v>
      </c>
      <c r="E381" s="15"/>
      <c r="F381" s="21"/>
      <c r="G381" s="21"/>
      <c r="H381" s="21"/>
      <c r="I381" s="21"/>
      <c r="J381" s="21"/>
      <c r="K381" s="21"/>
      <c r="L381" s="21"/>
      <c r="M381" s="15"/>
      <c r="N381" s="42"/>
      <c r="O381" s="86">
        <f t="shared" si="102"/>
        <v>0</v>
      </c>
      <c r="P381" s="86">
        <f t="shared" si="102"/>
        <v>0</v>
      </c>
      <c r="Q381" s="86">
        <f t="shared" si="102"/>
        <v>0</v>
      </c>
      <c r="R381" s="86">
        <f t="shared" si="102"/>
        <v>0</v>
      </c>
      <c r="S381" s="86">
        <f t="shared" si="102"/>
        <v>0</v>
      </c>
      <c r="T381" s="86">
        <f t="shared" si="102"/>
        <v>0</v>
      </c>
      <c r="U381" s="87">
        <f t="shared" si="102"/>
        <v>0</v>
      </c>
      <c r="V381" s="15"/>
      <c r="W381" s="96">
        <f t="shared" si="96"/>
        <v>0</v>
      </c>
      <c r="X381" s="97">
        <f t="shared" si="97"/>
        <v>0</v>
      </c>
      <c r="Y381" s="98">
        <f t="shared" si="98"/>
        <v>0</v>
      </c>
      <c r="Z381" s="97">
        <f t="shared" si="99"/>
        <v>0</v>
      </c>
      <c r="AA381" s="98">
        <f t="shared" si="100"/>
        <v>0</v>
      </c>
      <c r="AB381" s="98">
        <f t="shared" si="101"/>
        <v>0</v>
      </c>
      <c r="AC381" s="91"/>
      <c r="AD381" s="92">
        <f t="shared" si="89"/>
        <v>0</v>
      </c>
    </row>
    <row r="382" spans="1:30" ht="11.25">
      <c r="A382" s="15"/>
      <c r="B382" s="93">
        <f>IF(C382&gt;$K$1,0,'Ranges and Data'!$A$10)</f>
        <v>0</v>
      </c>
      <c r="C382" s="94">
        <f t="shared" si="94"/>
        <v>42422.416666665966</v>
      </c>
      <c r="D382" s="85">
        <f t="shared" si="95"/>
        <v>0</v>
      </c>
      <c r="E382" s="15"/>
      <c r="F382" s="21"/>
      <c r="G382" s="21"/>
      <c r="H382" s="21"/>
      <c r="I382" s="21"/>
      <c r="J382" s="21"/>
      <c r="K382" s="21"/>
      <c r="L382" s="21"/>
      <c r="M382" s="15"/>
      <c r="N382" s="42"/>
      <c r="O382" s="86">
        <f t="shared" si="102"/>
        <v>0</v>
      </c>
      <c r="P382" s="86">
        <f t="shared" si="102"/>
        <v>0</v>
      </c>
      <c r="Q382" s="86">
        <f t="shared" si="102"/>
        <v>0</v>
      </c>
      <c r="R382" s="86">
        <f t="shared" si="102"/>
        <v>0</v>
      </c>
      <c r="S382" s="86">
        <f t="shared" si="102"/>
        <v>0</v>
      </c>
      <c r="T382" s="86">
        <f t="shared" si="102"/>
        <v>0</v>
      </c>
      <c r="U382" s="87">
        <f t="shared" si="102"/>
        <v>0</v>
      </c>
      <c r="V382" s="15"/>
      <c r="W382" s="96">
        <f t="shared" si="96"/>
        <v>0</v>
      </c>
      <c r="X382" s="97">
        <f t="shared" si="97"/>
        <v>0</v>
      </c>
      <c r="Y382" s="98">
        <f t="shared" si="98"/>
        <v>0</v>
      </c>
      <c r="Z382" s="97">
        <f t="shared" si="99"/>
        <v>0</v>
      </c>
      <c r="AA382" s="98">
        <f t="shared" si="100"/>
        <v>0</v>
      </c>
      <c r="AB382" s="98">
        <f t="shared" si="101"/>
        <v>0</v>
      </c>
      <c r="AC382" s="91"/>
      <c r="AD382" s="92">
        <f t="shared" si="89"/>
        <v>0</v>
      </c>
    </row>
    <row r="383" spans="1:30" ht="11.25">
      <c r="A383" s="15"/>
      <c r="B383" s="93">
        <f>IF(C383&gt;$K$1,0,'Ranges and Data'!$A$10)</f>
        <v>0</v>
      </c>
      <c r="C383" s="94">
        <f t="shared" si="94"/>
        <v>42452.83333333263</v>
      </c>
      <c r="D383" s="85">
        <f t="shared" si="95"/>
        <v>0</v>
      </c>
      <c r="E383" s="15"/>
      <c r="F383" s="21"/>
      <c r="G383" s="21"/>
      <c r="H383" s="21"/>
      <c r="I383" s="21"/>
      <c r="J383" s="21"/>
      <c r="K383" s="21"/>
      <c r="L383" s="21"/>
      <c r="M383" s="15"/>
      <c r="N383" s="42"/>
      <c r="O383" s="86">
        <f t="shared" si="102"/>
        <v>0</v>
      </c>
      <c r="P383" s="86">
        <f t="shared" si="102"/>
        <v>0</v>
      </c>
      <c r="Q383" s="86">
        <f t="shared" si="102"/>
        <v>0</v>
      </c>
      <c r="R383" s="86">
        <f t="shared" si="102"/>
        <v>0</v>
      </c>
      <c r="S383" s="86">
        <f t="shared" si="102"/>
        <v>0</v>
      </c>
      <c r="T383" s="86">
        <f t="shared" si="102"/>
        <v>0</v>
      </c>
      <c r="U383" s="87">
        <f t="shared" si="102"/>
        <v>0</v>
      </c>
      <c r="V383" s="15"/>
      <c r="W383" s="96">
        <f t="shared" si="96"/>
        <v>0</v>
      </c>
      <c r="X383" s="97">
        <f t="shared" si="97"/>
        <v>0</v>
      </c>
      <c r="Y383" s="98">
        <f t="shared" si="98"/>
        <v>0</v>
      </c>
      <c r="Z383" s="97">
        <f t="shared" si="99"/>
        <v>0</v>
      </c>
      <c r="AA383" s="98">
        <f t="shared" si="100"/>
        <v>0</v>
      </c>
      <c r="AB383" s="98">
        <f t="shared" si="101"/>
        <v>0</v>
      </c>
      <c r="AC383" s="91"/>
      <c r="AD383" s="92">
        <f t="shared" si="89"/>
        <v>0</v>
      </c>
    </row>
    <row r="384" spans="1:30" ht="11.25">
      <c r="A384" s="15"/>
      <c r="B384" s="93">
        <f>IF(C384&gt;$K$1,0,'Ranges and Data'!$A$10)</f>
        <v>0</v>
      </c>
      <c r="C384" s="94">
        <f aca="true" t="shared" si="103" ref="C384:C411">C383+(365/12)</f>
        <v>42483.249999999294</v>
      </c>
      <c r="D384" s="85">
        <f aca="true" t="shared" si="104" ref="D384:D411">IF(B384&lt;&gt;0,$K$1-C384,0)/365</f>
        <v>0</v>
      </c>
      <c r="E384" s="15"/>
      <c r="F384" s="21"/>
      <c r="G384" s="21"/>
      <c r="H384" s="21"/>
      <c r="I384" s="21"/>
      <c r="J384" s="21"/>
      <c r="K384" s="21"/>
      <c r="L384" s="21"/>
      <c r="M384" s="15"/>
      <c r="N384" s="42"/>
      <c r="O384" s="86">
        <f t="shared" si="102"/>
        <v>0</v>
      </c>
      <c r="P384" s="86">
        <f t="shared" si="102"/>
        <v>0</v>
      </c>
      <c r="Q384" s="86">
        <f t="shared" si="102"/>
        <v>0</v>
      </c>
      <c r="R384" s="86">
        <f t="shared" si="102"/>
        <v>0</v>
      </c>
      <c r="S384" s="86">
        <f t="shared" si="102"/>
        <v>0</v>
      </c>
      <c r="T384" s="86">
        <f t="shared" si="102"/>
        <v>0</v>
      </c>
      <c r="U384" s="87">
        <f t="shared" si="102"/>
        <v>0</v>
      </c>
      <c r="V384" s="15"/>
      <c r="W384" s="96">
        <f aca="true" t="shared" si="105" ref="W384:W411">$B384*I$3^$D384</f>
        <v>0</v>
      </c>
      <c r="X384" s="97">
        <f aca="true" t="shared" si="106" ref="X384:X411">W384*$D384/I$3</f>
        <v>0</v>
      </c>
      <c r="Y384" s="98">
        <f aca="true" t="shared" si="107" ref="Y384:Y411">$B384*I$4^$D384</f>
        <v>0</v>
      </c>
      <c r="Z384" s="97">
        <f aca="true" t="shared" si="108" ref="Z384:Z411">Y384*$D384/I$4</f>
        <v>0</v>
      </c>
      <c r="AA384" s="98">
        <f aca="true" t="shared" si="109" ref="AA384:AA411">$B384*I$5^$D384</f>
        <v>0</v>
      </c>
      <c r="AB384" s="98">
        <f aca="true" t="shared" si="110" ref="AB384:AB411">AA384*$D384/I$5</f>
        <v>0</v>
      </c>
      <c r="AC384" s="91"/>
      <c r="AD384" s="92">
        <f t="shared" si="89"/>
        <v>0</v>
      </c>
    </row>
    <row r="385" spans="1:30" ht="11.25">
      <c r="A385" s="15"/>
      <c r="B385" s="93">
        <f>IF(C385&gt;$K$1,0,'Ranges and Data'!$A$10)</f>
        <v>0</v>
      </c>
      <c r="C385" s="94">
        <f t="shared" si="103"/>
        <v>42513.66666666596</v>
      </c>
      <c r="D385" s="85">
        <f t="shared" si="104"/>
        <v>0</v>
      </c>
      <c r="E385" s="15"/>
      <c r="F385" s="21"/>
      <c r="G385" s="21"/>
      <c r="H385" s="21"/>
      <c r="I385" s="21"/>
      <c r="J385" s="21"/>
      <c r="K385" s="21"/>
      <c r="L385" s="21"/>
      <c r="M385" s="15"/>
      <c r="N385" s="42"/>
      <c r="O385" s="86">
        <f t="shared" si="102"/>
        <v>0</v>
      </c>
      <c r="P385" s="86">
        <f t="shared" si="102"/>
        <v>0</v>
      </c>
      <c r="Q385" s="86">
        <f t="shared" si="102"/>
        <v>0</v>
      </c>
      <c r="R385" s="86">
        <f t="shared" si="102"/>
        <v>0</v>
      </c>
      <c r="S385" s="86">
        <f t="shared" si="102"/>
        <v>0</v>
      </c>
      <c r="T385" s="86">
        <f t="shared" si="102"/>
        <v>0</v>
      </c>
      <c r="U385" s="87">
        <f t="shared" si="102"/>
        <v>0</v>
      </c>
      <c r="V385" s="15"/>
      <c r="W385" s="96">
        <f t="shared" si="105"/>
        <v>0</v>
      </c>
      <c r="X385" s="97">
        <f t="shared" si="106"/>
        <v>0</v>
      </c>
      <c r="Y385" s="98">
        <f t="shared" si="107"/>
        <v>0</v>
      </c>
      <c r="Z385" s="97">
        <f t="shared" si="108"/>
        <v>0</v>
      </c>
      <c r="AA385" s="98">
        <f t="shared" si="109"/>
        <v>0</v>
      </c>
      <c r="AB385" s="98">
        <f t="shared" si="110"/>
        <v>0</v>
      </c>
      <c r="AC385" s="91"/>
      <c r="AD385" s="92">
        <f t="shared" si="89"/>
        <v>0</v>
      </c>
    </row>
    <row r="386" spans="1:30" ht="11.25">
      <c r="A386" s="15"/>
      <c r="B386" s="93">
        <f>IF(C386&gt;$K$1,0,'Ranges and Data'!$A$10)</f>
        <v>0</v>
      </c>
      <c r="C386" s="94">
        <f t="shared" si="103"/>
        <v>42544.08333333262</v>
      </c>
      <c r="D386" s="85">
        <f t="shared" si="104"/>
        <v>0</v>
      </c>
      <c r="E386" s="15"/>
      <c r="F386" s="21"/>
      <c r="G386" s="21"/>
      <c r="H386" s="21"/>
      <c r="I386" s="21"/>
      <c r="J386" s="21"/>
      <c r="K386" s="21"/>
      <c r="L386" s="21"/>
      <c r="M386" s="15"/>
      <c r="N386" s="42"/>
      <c r="O386" s="86">
        <f t="shared" si="102"/>
        <v>0</v>
      </c>
      <c r="P386" s="86">
        <f t="shared" si="102"/>
        <v>0</v>
      </c>
      <c r="Q386" s="86">
        <f t="shared" si="102"/>
        <v>0</v>
      </c>
      <c r="R386" s="86">
        <f t="shared" si="102"/>
        <v>0</v>
      </c>
      <c r="S386" s="86">
        <f t="shared" si="102"/>
        <v>0</v>
      </c>
      <c r="T386" s="86">
        <f t="shared" si="102"/>
        <v>0</v>
      </c>
      <c r="U386" s="87">
        <f t="shared" si="102"/>
        <v>0</v>
      </c>
      <c r="V386" s="15"/>
      <c r="W386" s="96">
        <f t="shared" si="105"/>
        <v>0</v>
      </c>
      <c r="X386" s="97">
        <f t="shared" si="106"/>
        <v>0</v>
      </c>
      <c r="Y386" s="98">
        <f t="shared" si="107"/>
        <v>0</v>
      </c>
      <c r="Z386" s="97">
        <f t="shared" si="108"/>
        <v>0</v>
      </c>
      <c r="AA386" s="98">
        <f t="shared" si="109"/>
        <v>0</v>
      </c>
      <c r="AB386" s="98">
        <f t="shared" si="110"/>
        <v>0</v>
      </c>
      <c r="AC386" s="91"/>
      <c r="AD386" s="92">
        <f t="shared" si="89"/>
        <v>0</v>
      </c>
    </row>
    <row r="387" spans="1:30" ht="11.25">
      <c r="A387" s="15"/>
      <c r="B387" s="93">
        <f>IF(C387&gt;$K$1,0,'Ranges and Data'!$A$10)</f>
        <v>0</v>
      </c>
      <c r="C387" s="94">
        <f t="shared" si="103"/>
        <v>42574.49999999929</v>
      </c>
      <c r="D387" s="85">
        <f t="shared" si="104"/>
        <v>0</v>
      </c>
      <c r="E387" s="15"/>
      <c r="F387" s="21"/>
      <c r="G387" s="21"/>
      <c r="H387" s="21"/>
      <c r="I387" s="21"/>
      <c r="J387" s="21"/>
      <c r="K387" s="21"/>
      <c r="L387" s="21"/>
      <c r="M387" s="15"/>
      <c r="N387" s="42"/>
      <c r="O387" s="86">
        <f t="shared" si="102"/>
        <v>0</v>
      </c>
      <c r="P387" s="86">
        <f t="shared" si="102"/>
        <v>0</v>
      </c>
      <c r="Q387" s="86">
        <f t="shared" si="102"/>
        <v>0</v>
      </c>
      <c r="R387" s="86">
        <f t="shared" si="102"/>
        <v>0</v>
      </c>
      <c r="S387" s="86">
        <f t="shared" si="102"/>
        <v>0</v>
      </c>
      <c r="T387" s="86">
        <f t="shared" si="102"/>
        <v>0</v>
      </c>
      <c r="U387" s="87">
        <f t="shared" si="102"/>
        <v>0</v>
      </c>
      <c r="V387" s="15"/>
      <c r="W387" s="96">
        <f t="shared" si="105"/>
        <v>0</v>
      </c>
      <c r="X387" s="97">
        <f t="shared" si="106"/>
        <v>0</v>
      </c>
      <c r="Y387" s="98">
        <f t="shared" si="107"/>
        <v>0</v>
      </c>
      <c r="Z387" s="97">
        <f t="shared" si="108"/>
        <v>0</v>
      </c>
      <c r="AA387" s="98">
        <f t="shared" si="109"/>
        <v>0</v>
      </c>
      <c r="AB387" s="98">
        <f t="shared" si="110"/>
        <v>0</v>
      </c>
      <c r="AC387" s="91"/>
      <c r="AD387" s="92">
        <f t="shared" si="89"/>
        <v>0</v>
      </c>
    </row>
    <row r="388" spans="1:30" ht="11.25">
      <c r="A388" s="15"/>
      <c r="B388" s="93">
        <f>IF(C388&gt;$K$1,0,'Ranges and Data'!$A$10)</f>
        <v>0</v>
      </c>
      <c r="C388" s="94">
        <f t="shared" si="103"/>
        <v>42604.91666666595</v>
      </c>
      <c r="D388" s="85">
        <f t="shared" si="104"/>
        <v>0</v>
      </c>
      <c r="E388" s="15"/>
      <c r="F388" s="21"/>
      <c r="G388" s="21"/>
      <c r="H388" s="21"/>
      <c r="I388" s="21"/>
      <c r="J388" s="21"/>
      <c r="K388" s="21"/>
      <c r="L388" s="21"/>
      <c r="M388" s="15"/>
      <c r="N388" s="42"/>
      <c r="O388" s="86">
        <f t="shared" si="102"/>
        <v>0</v>
      </c>
      <c r="P388" s="86">
        <f t="shared" si="102"/>
        <v>0</v>
      </c>
      <c r="Q388" s="86">
        <f t="shared" si="102"/>
        <v>0</v>
      </c>
      <c r="R388" s="86">
        <f t="shared" si="102"/>
        <v>0</v>
      </c>
      <c r="S388" s="86">
        <f t="shared" si="102"/>
        <v>0</v>
      </c>
      <c r="T388" s="86">
        <f t="shared" si="102"/>
        <v>0</v>
      </c>
      <c r="U388" s="87">
        <f t="shared" si="102"/>
        <v>0</v>
      </c>
      <c r="V388" s="15"/>
      <c r="W388" s="96">
        <f t="shared" si="105"/>
        <v>0</v>
      </c>
      <c r="X388" s="97">
        <f t="shared" si="106"/>
        <v>0</v>
      </c>
      <c r="Y388" s="98">
        <f t="shared" si="107"/>
        <v>0</v>
      </c>
      <c r="Z388" s="97">
        <f t="shared" si="108"/>
        <v>0</v>
      </c>
      <c r="AA388" s="98">
        <f t="shared" si="109"/>
        <v>0</v>
      </c>
      <c r="AB388" s="98">
        <f t="shared" si="110"/>
        <v>0</v>
      </c>
      <c r="AC388" s="91"/>
      <c r="AD388" s="92">
        <f t="shared" si="89"/>
        <v>0</v>
      </c>
    </row>
    <row r="389" spans="1:30" ht="11.25">
      <c r="A389" s="15"/>
      <c r="B389" s="93">
        <f>IF(C389&gt;$K$1,0,'Ranges and Data'!$A$10)</f>
        <v>0</v>
      </c>
      <c r="C389" s="94">
        <f t="shared" si="103"/>
        <v>42635.333333332615</v>
      </c>
      <c r="D389" s="85">
        <f t="shared" si="104"/>
        <v>0</v>
      </c>
      <c r="E389" s="15"/>
      <c r="F389" s="21"/>
      <c r="G389" s="21"/>
      <c r="H389" s="21"/>
      <c r="I389" s="21"/>
      <c r="J389" s="21"/>
      <c r="K389" s="21"/>
      <c r="L389" s="21"/>
      <c r="M389" s="15"/>
      <c r="N389" s="42"/>
      <c r="O389" s="86">
        <f t="shared" si="102"/>
        <v>0</v>
      </c>
      <c r="P389" s="86">
        <f t="shared" si="102"/>
        <v>0</v>
      </c>
      <c r="Q389" s="86">
        <f t="shared" si="102"/>
        <v>0</v>
      </c>
      <c r="R389" s="86">
        <f t="shared" si="102"/>
        <v>0</v>
      </c>
      <c r="S389" s="86">
        <f t="shared" si="102"/>
        <v>0</v>
      </c>
      <c r="T389" s="86">
        <f t="shared" si="102"/>
        <v>0</v>
      </c>
      <c r="U389" s="87">
        <f t="shared" si="102"/>
        <v>0</v>
      </c>
      <c r="V389" s="15"/>
      <c r="W389" s="96">
        <f t="shared" si="105"/>
        <v>0</v>
      </c>
      <c r="X389" s="97">
        <f t="shared" si="106"/>
        <v>0</v>
      </c>
      <c r="Y389" s="98">
        <f t="shared" si="107"/>
        <v>0</v>
      </c>
      <c r="Z389" s="97">
        <f t="shared" si="108"/>
        <v>0</v>
      </c>
      <c r="AA389" s="98">
        <f t="shared" si="109"/>
        <v>0</v>
      </c>
      <c r="AB389" s="98">
        <f t="shared" si="110"/>
        <v>0</v>
      </c>
      <c r="AC389" s="91"/>
      <c r="AD389" s="92">
        <f t="shared" si="89"/>
        <v>0</v>
      </c>
    </row>
    <row r="390" spans="1:30" ht="11.25">
      <c r="A390" s="15"/>
      <c r="B390" s="93">
        <f>IF(C390&gt;$K$1,0,'Ranges and Data'!$A$10)</f>
        <v>0</v>
      </c>
      <c r="C390" s="94">
        <f t="shared" si="103"/>
        <v>42665.74999999928</v>
      </c>
      <c r="D390" s="85">
        <f t="shared" si="104"/>
        <v>0</v>
      </c>
      <c r="E390" s="15"/>
      <c r="F390" s="21"/>
      <c r="G390" s="21"/>
      <c r="H390" s="21"/>
      <c r="I390" s="21"/>
      <c r="J390" s="21"/>
      <c r="K390" s="21"/>
      <c r="L390" s="21"/>
      <c r="M390" s="15"/>
      <c r="N390" s="42"/>
      <c r="O390" s="86">
        <f t="shared" si="102"/>
        <v>0</v>
      </c>
      <c r="P390" s="86">
        <f t="shared" si="102"/>
        <v>0</v>
      </c>
      <c r="Q390" s="86">
        <f t="shared" si="102"/>
        <v>0</v>
      </c>
      <c r="R390" s="86">
        <f t="shared" si="102"/>
        <v>0</v>
      </c>
      <c r="S390" s="86">
        <f t="shared" si="102"/>
        <v>0</v>
      </c>
      <c r="T390" s="86">
        <f t="shared" si="102"/>
        <v>0</v>
      </c>
      <c r="U390" s="87">
        <f t="shared" si="102"/>
        <v>0</v>
      </c>
      <c r="V390" s="15"/>
      <c r="W390" s="96">
        <f t="shared" si="105"/>
        <v>0</v>
      </c>
      <c r="X390" s="97">
        <f t="shared" si="106"/>
        <v>0</v>
      </c>
      <c r="Y390" s="98">
        <f t="shared" si="107"/>
        <v>0</v>
      </c>
      <c r="Z390" s="97">
        <f t="shared" si="108"/>
        <v>0</v>
      </c>
      <c r="AA390" s="98">
        <f t="shared" si="109"/>
        <v>0</v>
      </c>
      <c r="AB390" s="98">
        <f t="shared" si="110"/>
        <v>0</v>
      </c>
      <c r="AC390" s="91"/>
      <c r="AD390" s="92">
        <f t="shared" si="89"/>
        <v>0</v>
      </c>
    </row>
    <row r="391" spans="1:30" ht="11.25">
      <c r="A391" s="15"/>
      <c r="B391" s="93">
        <f>IF(C391&gt;$K$1,0,'Ranges and Data'!$A$10)</f>
        <v>0</v>
      </c>
      <c r="C391" s="94">
        <f t="shared" si="103"/>
        <v>42696.166666665944</v>
      </c>
      <c r="D391" s="85">
        <f t="shared" si="104"/>
        <v>0</v>
      </c>
      <c r="E391" s="15"/>
      <c r="F391" s="21"/>
      <c r="G391" s="21"/>
      <c r="H391" s="21"/>
      <c r="I391" s="21"/>
      <c r="J391" s="21"/>
      <c r="K391" s="21"/>
      <c r="L391" s="21"/>
      <c r="M391" s="15"/>
      <c r="N391" s="42"/>
      <c r="O391" s="86">
        <f aca="true" t="shared" si="111" ref="O391:U406">$B391*O$7^$D391</f>
        <v>0</v>
      </c>
      <c r="P391" s="86">
        <f t="shared" si="111"/>
        <v>0</v>
      </c>
      <c r="Q391" s="86">
        <f t="shared" si="111"/>
        <v>0</v>
      </c>
      <c r="R391" s="86">
        <f t="shared" si="111"/>
        <v>0</v>
      </c>
      <c r="S391" s="86">
        <f t="shared" si="111"/>
        <v>0</v>
      </c>
      <c r="T391" s="86">
        <f t="shared" si="111"/>
        <v>0</v>
      </c>
      <c r="U391" s="87">
        <f t="shared" si="111"/>
        <v>0</v>
      </c>
      <c r="V391" s="15"/>
      <c r="W391" s="96">
        <f t="shared" si="105"/>
        <v>0</v>
      </c>
      <c r="X391" s="97">
        <f t="shared" si="106"/>
        <v>0</v>
      </c>
      <c r="Y391" s="98">
        <f t="shared" si="107"/>
        <v>0</v>
      </c>
      <c r="Z391" s="97">
        <f t="shared" si="108"/>
        <v>0</v>
      </c>
      <c r="AA391" s="98">
        <f t="shared" si="109"/>
        <v>0</v>
      </c>
      <c r="AB391" s="98">
        <f t="shared" si="110"/>
        <v>0</v>
      </c>
      <c r="AC391" s="91"/>
      <c r="AD391" s="92">
        <f t="shared" si="89"/>
        <v>0</v>
      </c>
    </row>
    <row r="392" spans="1:30" ht="11.25">
      <c r="A392" s="15"/>
      <c r="B392" s="93">
        <f>IF(C392&gt;$K$1,0,'Ranges and Data'!$A$10)</f>
        <v>0</v>
      </c>
      <c r="C392" s="94">
        <f t="shared" si="103"/>
        <v>42726.58333333261</v>
      </c>
      <c r="D392" s="85">
        <f t="shared" si="104"/>
        <v>0</v>
      </c>
      <c r="E392" s="15"/>
      <c r="F392" s="21"/>
      <c r="G392" s="21"/>
      <c r="H392" s="21"/>
      <c r="I392" s="21"/>
      <c r="J392" s="21"/>
      <c r="K392" s="21"/>
      <c r="L392" s="21"/>
      <c r="M392" s="15"/>
      <c r="N392" s="42"/>
      <c r="O392" s="86">
        <f t="shared" si="111"/>
        <v>0</v>
      </c>
      <c r="P392" s="86">
        <f t="shared" si="111"/>
        <v>0</v>
      </c>
      <c r="Q392" s="86">
        <f t="shared" si="111"/>
        <v>0</v>
      </c>
      <c r="R392" s="86">
        <f t="shared" si="111"/>
        <v>0</v>
      </c>
      <c r="S392" s="86">
        <f t="shared" si="111"/>
        <v>0</v>
      </c>
      <c r="T392" s="86">
        <f t="shared" si="111"/>
        <v>0</v>
      </c>
      <c r="U392" s="87">
        <f t="shared" si="111"/>
        <v>0</v>
      </c>
      <c r="V392" s="15"/>
      <c r="W392" s="96">
        <f t="shared" si="105"/>
        <v>0</v>
      </c>
      <c r="X392" s="97">
        <f t="shared" si="106"/>
        <v>0</v>
      </c>
      <c r="Y392" s="98">
        <f t="shared" si="107"/>
        <v>0</v>
      </c>
      <c r="Z392" s="97">
        <f t="shared" si="108"/>
        <v>0</v>
      </c>
      <c r="AA392" s="98">
        <f t="shared" si="109"/>
        <v>0</v>
      </c>
      <c r="AB392" s="98">
        <f t="shared" si="110"/>
        <v>0</v>
      </c>
      <c r="AC392" s="91"/>
      <c r="AD392" s="92">
        <f t="shared" si="89"/>
        <v>0</v>
      </c>
    </row>
    <row r="393" spans="1:30" ht="11.25">
      <c r="A393" s="15"/>
      <c r="B393" s="93">
        <f>IF(C393&gt;$K$1,0,'Ranges and Data'!$A$10)</f>
        <v>0</v>
      </c>
      <c r="C393" s="94">
        <f t="shared" si="103"/>
        <v>42756.99999999927</v>
      </c>
      <c r="D393" s="85">
        <f t="shared" si="104"/>
        <v>0</v>
      </c>
      <c r="E393" s="15"/>
      <c r="F393" s="21"/>
      <c r="G393" s="21"/>
      <c r="H393" s="21"/>
      <c r="I393" s="21"/>
      <c r="J393" s="21"/>
      <c r="K393" s="21"/>
      <c r="L393" s="21"/>
      <c r="M393" s="15"/>
      <c r="N393" s="42"/>
      <c r="O393" s="86">
        <f t="shared" si="111"/>
        <v>0</v>
      </c>
      <c r="P393" s="86">
        <f t="shared" si="111"/>
        <v>0</v>
      </c>
      <c r="Q393" s="86">
        <f t="shared" si="111"/>
        <v>0</v>
      </c>
      <c r="R393" s="86">
        <f t="shared" si="111"/>
        <v>0</v>
      </c>
      <c r="S393" s="86">
        <f t="shared" si="111"/>
        <v>0</v>
      </c>
      <c r="T393" s="86">
        <f t="shared" si="111"/>
        <v>0</v>
      </c>
      <c r="U393" s="87">
        <f t="shared" si="111"/>
        <v>0</v>
      </c>
      <c r="V393" s="15"/>
      <c r="W393" s="96">
        <f t="shared" si="105"/>
        <v>0</v>
      </c>
      <c r="X393" s="97">
        <f t="shared" si="106"/>
        <v>0</v>
      </c>
      <c r="Y393" s="98">
        <f t="shared" si="107"/>
        <v>0</v>
      </c>
      <c r="Z393" s="97">
        <f t="shared" si="108"/>
        <v>0</v>
      </c>
      <c r="AA393" s="98">
        <f t="shared" si="109"/>
        <v>0</v>
      </c>
      <c r="AB393" s="98">
        <f t="shared" si="110"/>
        <v>0</v>
      </c>
      <c r="AC393" s="91"/>
      <c r="AD393" s="92">
        <f aca="true" t="shared" si="112" ref="AD393:AD456">$B393*(1+$D$7)^$D393</f>
        <v>0</v>
      </c>
    </row>
    <row r="394" spans="1:30" ht="11.25">
      <c r="A394" s="15"/>
      <c r="B394" s="93">
        <f>IF(C394&gt;$K$1,0,'Ranges and Data'!$A$10)</f>
        <v>0</v>
      </c>
      <c r="C394" s="94">
        <f t="shared" si="103"/>
        <v>42787.41666666594</v>
      </c>
      <c r="D394" s="85">
        <f t="shared" si="104"/>
        <v>0</v>
      </c>
      <c r="E394" s="15"/>
      <c r="F394" s="21"/>
      <c r="G394" s="21"/>
      <c r="H394" s="21"/>
      <c r="I394" s="21"/>
      <c r="J394" s="21"/>
      <c r="K394" s="21"/>
      <c r="L394" s="21"/>
      <c r="M394" s="15"/>
      <c r="N394" s="42"/>
      <c r="O394" s="86">
        <f t="shared" si="111"/>
        <v>0</v>
      </c>
      <c r="P394" s="86">
        <f t="shared" si="111"/>
        <v>0</v>
      </c>
      <c r="Q394" s="86">
        <f t="shared" si="111"/>
        <v>0</v>
      </c>
      <c r="R394" s="86">
        <f t="shared" si="111"/>
        <v>0</v>
      </c>
      <c r="S394" s="86">
        <f t="shared" si="111"/>
        <v>0</v>
      </c>
      <c r="T394" s="86">
        <f t="shared" si="111"/>
        <v>0</v>
      </c>
      <c r="U394" s="87">
        <f t="shared" si="111"/>
        <v>0</v>
      </c>
      <c r="V394" s="15"/>
      <c r="W394" s="96">
        <f t="shared" si="105"/>
        <v>0</v>
      </c>
      <c r="X394" s="97">
        <f t="shared" si="106"/>
        <v>0</v>
      </c>
      <c r="Y394" s="98">
        <f t="shared" si="107"/>
        <v>0</v>
      </c>
      <c r="Z394" s="97">
        <f t="shared" si="108"/>
        <v>0</v>
      </c>
      <c r="AA394" s="98">
        <f t="shared" si="109"/>
        <v>0</v>
      </c>
      <c r="AB394" s="98">
        <f t="shared" si="110"/>
        <v>0</v>
      </c>
      <c r="AC394" s="91"/>
      <c r="AD394" s="92">
        <f t="shared" si="112"/>
        <v>0</v>
      </c>
    </row>
    <row r="395" spans="1:30" ht="11.25">
      <c r="A395" s="15"/>
      <c r="B395" s="93">
        <f>IF(C395&gt;$K$1,0,'Ranges and Data'!$A$10)</f>
        <v>0</v>
      </c>
      <c r="C395" s="94">
        <f t="shared" si="103"/>
        <v>42817.8333333326</v>
      </c>
      <c r="D395" s="85">
        <f t="shared" si="104"/>
        <v>0</v>
      </c>
      <c r="E395" s="15"/>
      <c r="F395" s="21"/>
      <c r="G395" s="21"/>
      <c r="H395" s="21"/>
      <c r="I395" s="21"/>
      <c r="J395" s="21"/>
      <c r="K395" s="21"/>
      <c r="L395" s="21"/>
      <c r="M395" s="15"/>
      <c r="N395" s="42"/>
      <c r="O395" s="86">
        <f t="shared" si="111"/>
        <v>0</v>
      </c>
      <c r="P395" s="86">
        <f t="shared" si="111"/>
        <v>0</v>
      </c>
      <c r="Q395" s="86">
        <f t="shared" si="111"/>
        <v>0</v>
      </c>
      <c r="R395" s="86">
        <f t="shared" si="111"/>
        <v>0</v>
      </c>
      <c r="S395" s="86">
        <f t="shared" si="111"/>
        <v>0</v>
      </c>
      <c r="T395" s="86">
        <f t="shared" si="111"/>
        <v>0</v>
      </c>
      <c r="U395" s="87">
        <f t="shared" si="111"/>
        <v>0</v>
      </c>
      <c r="V395" s="15"/>
      <c r="W395" s="96">
        <f t="shared" si="105"/>
        <v>0</v>
      </c>
      <c r="X395" s="97">
        <f t="shared" si="106"/>
        <v>0</v>
      </c>
      <c r="Y395" s="98">
        <f t="shared" si="107"/>
        <v>0</v>
      </c>
      <c r="Z395" s="97">
        <f t="shared" si="108"/>
        <v>0</v>
      </c>
      <c r="AA395" s="98">
        <f t="shared" si="109"/>
        <v>0</v>
      </c>
      <c r="AB395" s="98">
        <f t="shared" si="110"/>
        <v>0</v>
      </c>
      <c r="AC395" s="91"/>
      <c r="AD395" s="92">
        <f t="shared" si="112"/>
        <v>0</v>
      </c>
    </row>
    <row r="396" spans="1:30" ht="11.25">
      <c r="A396" s="15"/>
      <c r="B396" s="93">
        <f>IF(C396&gt;$K$1,0,'Ranges and Data'!$A$10)</f>
        <v>0</v>
      </c>
      <c r="C396" s="94">
        <f t="shared" si="103"/>
        <v>42848.249999999265</v>
      </c>
      <c r="D396" s="85">
        <f t="shared" si="104"/>
        <v>0</v>
      </c>
      <c r="E396" s="15"/>
      <c r="F396" s="21"/>
      <c r="G396" s="21"/>
      <c r="H396" s="21"/>
      <c r="I396" s="21"/>
      <c r="J396" s="21"/>
      <c r="K396" s="21"/>
      <c r="L396" s="21"/>
      <c r="M396" s="15"/>
      <c r="N396" s="42"/>
      <c r="O396" s="86">
        <f t="shared" si="111"/>
        <v>0</v>
      </c>
      <c r="P396" s="86">
        <f t="shared" si="111"/>
        <v>0</v>
      </c>
      <c r="Q396" s="86">
        <f t="shared" si="111"/>
        <v>0</v>
      </c>
      <c r="R396" s="86">
        <f t="shared" si="111"/>
        <v>0</v>
      </c>
      <c r="S396" s="86">
        <f t="shared" si="111"/>
        <v>0</v>
      </c>
      <c r="T396" s="86">
        <f t="shared" si="111"/>
        <v>0</v>
      </c>
      <c r="U396" s="87">
        <f t="shared" si="111"/>
        <v>0</v>
      </c>
      <c r="V396" s="15"/>
      <c r="W396" s="96">
        <f t="shared" si="105"/>
        <v>0</v>
      </c>
      <c r="X396" s="97">
        <f t="shared" si="106"/>
        <v>0</v>
      </c>
      <c r="Y396" s="98">
        <f t="shared" si="107"/>
        <v>0</v>
      </c>
      <c r="Z396" s="97">
        <f t="shared" si="108"/>
        <v>0</v>
      </c>
      <c r="AA396" s="98">
        <f t="shared" si="109"/>
        <v>0</v>
      </c>
      <c r="AB396" s="98">
        <f t="shared" si="110"/>
        <v>0</v>
      </c>
      <c r="AC396" s="91"/>
      <c r="AD396" s="92">
        <f t="shared" si="112"/>
        <v>0</v>
      </c>
    </row>
    <row r="397" spans="1:30" ht="11.25">
      <c r="A397" s="15"/>
      <c r="B397" s="93">
        <f>IF(C397&gt;$K$1,0,'Ranges and Data'!$A$10)</f>
        <v>0</v>
      </c>
      <c r="C397" s="94">
        <f t="shared" si="103"/>
        <v>42878.66666666593</v>
      </c>
      <c r="D397" s="85">
        <f t="shared" si="104"/>
        <v>0</v>
      </c>
      <c r="E397" s="15"/>
      <c r="F397" s="21"/>
      <c r="G397" s="21"/>
      <c r="H397" s="21"/>
      <c r="I397" s="21"/>
      <c r="J397" s="21"/>
      <c r="K397" s="21"/>
      <c r="L397" s="21"/>
      <c r="M397" s="15"/>
      <c r="N397" s="42"/>
      <c r="O397" s="86">
        <f t="shared" si="111"/>
        <v>0</v>
      </c>
      <c r="P397" s="86">
        <f t="shared" si="111"/>
        <v>0</v>
      </c>
      <c r="Q397" s="86">
        <f t="shared" si="111"/>
        <v>0</v>
      </c>
      <c r="R397" s="86">
        <f t="shared" si="111"/>
        <v>0</v>
      </c>
      <c r="S397" s="86">
        <f t="shared" si="111"/>
        <v>0</v>
      </c>
      <c r="T397" s="86">
        <f t="shared" si="111"/>
        <v>0</v>
      </c>
      <c r="U397" s="87">
        <f t="shared" si="111"/>
        <v>0</v>
      </c>
      <c r="V397" s="15"/>
      <c r="W397" s="96">
        <f t="shared" si="105"/>
        <v>0</v>
      </c>
      <c r="X397" s="97">
        <f t="shared" si="106"/>
        <v>0</v>
      </c>
      <c r="Y397" s="98">
        <f t="shared" si="107"/>
        <v>0</v>
      </c>
      <c r="Z397" s="97">
        <f t="shared" si="108"/>
        <v>0</v>
      </c>
      <c r="AA397" s="98">
        <f t="shared" si="109"/>
        <v>0</v>
      </c>
      <c r="AB397" s="98">
        <f t="shared" si="110"/>
        <v>0</v>
      </c>
      <c r="AC397" s="91"/>
      <c r="AD397" s="92">
        <f t="shared" si="112"/>
        <v>0</v>
      </c>
    </row>
    <row r="398" spans="1:30" ht="11.25">
      <c r="A398" s="15"/>
      <c r="B398" s="93">
        <f>IF(C398&gt;$K$1,0,'Ranges and Data'!$A$10)</f>
        <v>0</v>
      </c>
      <c r="C398" s="94">
        <f t="shared" si="103"/>
        <v>42909.08333333259</v>
      </c>
      <c r="D398" s="85">
        <f t="shared" si="104"/>
        <v>0</v>
      </c>
      <c r="E398" s="15"/>
      <c r="F398" s="21"/>
      <c r="G398" s="21"/>
      <c r="H398" s="21"/>
      <c r="I398" s="21"/>
      <c r="J398" s="21"/>
      <c r="K398" s="21"/>
      <c r="L398" s="21"/>
      <c r="M398" s="15"/>
      <c r="N398" s="42"/>
      <c r="O398" s="86">
        <f t="shared" si="111"/>
        <v>0</v>
      </c>
      <c r="P398" s="86">
        <f t="shared" si="111"/>
        <v>0</v>
      </c>
      <c r="Q398" s="86">
        <f t="shared" si="111"/>
        <v>0</v>
      </c>
      <c r="R398" s="86">
        <f t="shared" si="111"/>
        <v>0</v>
      </c>
      <c r="S398" s="86">
        <f t="shared" si="111"/>
        <v>0</v>
      </c>
      <c r="T398" s="86">
        <f t="shared" si="111"/>
        <v>0</v>
      </c>
      <c r="U398" s="87">
        <f t="shared" si="111"/>
        <v>0</v>
      </c>
      <c r="V398" s="15"/>
      <c r="W398" s="96">
        <f t="shared" si="105"/>
        <v>0</v>
      </c>
      <c r="X398" s="97">
        <f t="shared" si="106"/>
        <v>0</v>
      </c>
      <c r="Y398" s="98">
        <f t="shared" si="107"/>
        <v>0</v>
      </c>
      <c r="Z398" s="97">
        <f t="shared" si="108"/>
        <v>0</v>
      </c>
      <c r="AA398" s="98">
        <f t="shared" si="109"/>
        <v>0</v>
      </c>
      <c r="AB398" s="98">
        <f t="shared" si="110"/>
        <v>0</v>
      </c>
      <c r="AC398" s="91"/>
      <c r="AD398" s="92">
        <f t="shared" si="112"/>
        <v>0</v>
      </c>
    </row>
    <row r="399" spans="1:30" ht="11.25">
      <c r="A399" s="15"/>
      <c r="B399" s="93">
        <f>IF(C399&gt;$K$1,0,'Ranges and Data'!$A$10)</f>
        <v>0</v>
      </c>
      <c r="C399" s="94">
        <f t="shared" si="103"/>
        <v>42939.49999999926</v>
      </c>
      <c r="D399" s="85">
        <f t="shared" si="104"/>
        <v>0</v>
      </c>
      <c r="E399" s="15"/>
      <c r="F399" s="21"/>
      <c r="G399" s="21"/>
      <c r="H399" s="21"/>
      <c r="I399" s="21"/>
      <c r="J399" s="21"/>
      <c r="K399" s="21"/>
      <c r="L399" s="21"/>
      <c r="M399" s="15"/>
      <c r="N399" s="42"/>
      <c r="O399" s="86">
        <f t="shared" si="111"/>
        <v>0</v>
      </c>
      <c r="P399" s="86">
        <f t="shared" si="111"/>
        <v>0</v>
      </c>
      <c r="Q399" s="86">
        <f t="shared" si="111"/>
        <v>0</v>
      </c>
      <c r="R399" s="86">
        <f t="shared" si="111"/>
        <v>0</v>
      </c>
      <c r="S399" s="86">
        <f t="shared" si="111"/>
        <v>0</v>
      </c>
      <c r="T399" s="86">
        <f t="shared" si="111"/>
        <v>0</v>
      </c>
      <c r="U399" s="87">
        <f t="shared" si="111"/>
        <v>0</v>
      </c>
      <c r="V399" s="15"/>
      <c r="W399" s="96">
        <f t="shared" si="105"/>
        <v>0</v>
      </c>
      <c r="X399" s="97">
        <f t="shared" si="106"/>
        <v>0</v>
      </c>
      <c r="Y399" s="98">
        <f t="shared" si="107"/>
        <v>0</v>
      </c>
      <c r="Z399" s="97">
        <f t="shared" si="108"/>
        <v>0</v>
      </c>
      <c r="AA399" s="98">
        <f t="shared" si="109"/>
        <v>0</v>
      </c>
      <c r="AB399" s="98">
        <f t="shared" si="110"/>
        <v>0</v>
      </c>
      <c r="AC399" s="91"/>
      <c r="AD399" s="92">
        <f t="shared" si="112"/>
        <v>0</v>
      </c>
    </row>
    <row r="400" spans="1:30" ht="11.25">
      <c r="A400" s="15"/>
      <c r="B400" s="93">
        <f>IF(C400&gt;$K$1,0,'Ranges and Data'!$A$10)</f>
        <v>0</v>
      </c>
      <c r="C400" s="94">
        <f t="shared" si="103"/>
        <v>42969.91666666592</v>
      </c>
      <c r="D400" s="85">
        <f t="shared" si="104"/>
        <v>0</v>
      </c>
      <c r="E400" s="15"/>
      <c r="F400" s="21"/>
      <c r="G400" s="21"/>
      <c r="H400" s="21"/>
      <c r="I400" s="21"/>
      <c r="J400" s="21"/>
      <c r="K400" s="21"/>
      <c r="L400" s="21"/>
      <c r="M400" s="15"/>
      <c r="N400" s="42"/>
      <c r="O400" s="86">
        <f t="shared" si="111"/>
        <v>0</v>
      </c>
      <c r="P400" s="86">
        <f t="shared" si="111"/>
        <v>0</v>
      </c>
      <c r="Q400" s="86">
        <f t="shared" si="111"/>
        <v>0</v>
      </c>
      <c r="R400" s="86">
        <f t="shared" si="111"/>
        <v>0</v>
      </c>
      <c r="S400" s="86">
        <f t="shared" si="111"/>
        <v>0</v>
      </c>
      <c r="T400" s="86">
        <f t="shared" si="111"/>
        <v>0</v>
      </c>
      <c r="U400" s="87">
        <f t="shared" si="111"/>
        <v>0</v>
      </c>
      <c r="V400" s="15"/>
      <c r="W400" s="96">
        <f t="shared" si="105"/>
        <v>0</v>
      </c>
      <c r="X400" s="97">
        <f t="shared" si="106"/>
        <v>0</v>
      </c>
      <c r="Y400" s="98">
        <f t="shared" si="107"/>
        <v>0</v>
      </c>
      <c r="Z400" s="97">
        <f t="shared" si="108"/>
        <v>0</v>
      </c>
      <c r="AA400" s="98">
        <f t="shared" si="109"/>
        <v>0</v>
      </c>
      <c r="AB400" s="98">
        <f t="shared" si="110"/>
        <v>0</v>
      </c>
      <c r="AC400" s="91"/>
      <c r="AD400" s="92">
        <f t="shared" si="112"/>
        <v>0</v>
      </c>
    </row>
    <row r="401" spans="1:30" ht="11.25">
      <c r="A401" s="15"/>
      <c r="B401" s="93">
        <f>IF(C401&gt;$K$1,0,'Ranges and Data'!$A$10)</f>
        <v>0</v>
      </c>
      <c r="C401" s="94">
        <f t="shared" si="103"/>
        <v>43000.333333332586</v>
      </c>
      <c r="D401" s="85">
        <f t="shared" si="104"/>
        <v>0</v>
      </c>
      <c r="E401" s="15"/>
      <c r="F401" s="21"/>
      <c r="G401" s="21"/>
      <c r="H401" s="21"/>
      <c r="I401" s="21"/>
      <c r="J401" s="21"/>
      <c r="K401" s="21"/>
      <c r="L401" s="21"/>
      <c r="M401" s="15"/>
      <c r="N401" s="42"/>
      <c r="O401" s="86">
        <f t="shared" si="111"/>
        <v>0</v>
      </c>
      <c r="P401" s="86">
        <f t="shared" si="111"/>
        <v>0</v>
      </c>
      <c r="Q401" s="86">
        <f t="shared" si="111"/>
        <v>0</v>
      </c>
      <c r="R401" s="86">
        <f t="shared" si="111"/>
        <v>0</v>
      </c>
      <c r="S401" s="86">
        <f t="shared" si="111"/>
        <v>0</v>
      </c>
      <c r="T401" s="86">
        <f t="shared" si="111"/>
        <v>0</v>
      </c>
      <c r="U401" s="87">
        <f t="shared" si="111"/>
        <v>0</v>
      </c>
      <c r="V401" s="15"/>
      <c r="W401" s="96">
        <f t="shared" si="105"/>
        <v>0</v>
      </c>
      <c r="X401" s="97">
        <f t="shared" si="106"/>
        <v>0</v>
      </c>
      <c r="Y401" s="98">
        <f t="shared" si="107"/>
        <v>0</v>
      </c>
      <c r="Z401" s="97">
        <f t="shared" si="108"/>
        <v>0</v>
      </c>
      <c r="AA401" s="98">
        <f t="shared" si="109"/>
        <v>0</v>
      </c>
      <c r="AB401" s="98">
        <f t="shared" si="110"/>
        <v>0</v>
      </c>
      <c r="AC401" s="91"/>
      <c r="AD401" s="92">
        <f t="shared" si="112"/>
        <v>0</v>
      </c>
    </row>
    <row r="402" spans="1:30" ht="11.25">
      <c r="A402" s="15"/>
      <c r="B402" s="93">
        <f>IF(C402&gt;$K$1,0,'Ranges and Data'!$A$10)</f>
        <v>0</v>
      </c>
      <c r="C402" s="94">
        <f t="shared" si="103"/>
        <v>43030.74999999925</v>
      </c>
      <c r="D402" s="85">
        <f t="shared" si="104"/>
        <v>0</v>
      </c>
      <c r="E402" s="15"/>
      <c r="F402" s="21"/>
      <c r="G402" s="21"/>
      <c r="H402" s="21"/>
      <c r="I402" s="21"/>
      <c r="J402" s="21"/>
      <c r="K402" s="21"/>
      <c r="L402" s="21"/>
      <c r="M402" s="15"/>
      <c r="N402" s="42"/>
      <c r="O402" s="86">
        <f t="shared" si="111"/>
        <v>0</v>
      </c>
      <c r="P402" s="86">
        <f t="shared" si="111"/>
        <v>0</v>
      </c>
      <c r="Q402" s="86">
        <f t="shared" si="111"/>
        <v>0</v>
      </c>
      <c r="R402" s="86">
        <f t="shared" si="111"/>
        <v>0</v>
      </c>
      <c r="S402" s="86">
        <f t="shared" si="111"/>
        <v>0</v>
      </c>
      <c r="T402" s="86">
        <f t="shared" si="111"/>
        <v>0</v>
      </c>
      <c r="U402" s="87">
        <f t="shared" si="111"/>
        <v>0</v>
      </c>
      <c r="V402" s="15"/>
      <c r="W402" s="96">
        <f t="shared" si="105"/>
        <v>0</v>
      </c>
      <c r="X402" s="97">
        <f t="shared" si="106"/>
        <v>0</v>
      </c>
      <c r="Y402" s="98">
        <f t="shared" si="107"/>
        <v>0</v>
      </c>
      <c r="Z402" s="97">
        <f t="shared" si="108"/>
        <v>0</v>
      </c>
      <c r="AA402" s="98">
        <f t="shared" si="109"/>
        <v>0</v>
      </c>
      <c r="AB402" s="98">
        <f t="shared" si="110"/>
        <v>0</v>
      </c>
      <c r="AC402" s="91"/>
      <c r="AD402" s="92">
        <f t="shared" si="112"/>
        <v>0</v>
      </c>
    </row>
    <row r="403" spans="1:30" ht="11.25">
      <c r="A403" s="15"/>
      <c r="B403" s="93">
        <f>IF(C403&gt;$K$1,0,'Ranges and Data'!$A$10)</f>
        <v>0</v>
      </c>
      <c r="C403" s="94">
        <f t="shared" si="103"/>
        <v>43061.166666665915</v>
      </c>
      <c r="D403" s="85">
        <f t="shared" si="104"/>
        <v>0</v>
      </c>
      <c r="E403" s="15"/>
      <c r="F403" s="21"/>
      <c r="G403" s="21"/>
      <c r="H403" s="21"/>
      <c r="I403" s="21"/>
      <c r="J403" s="21"/>
      <c r="K403" s="21"/>
      <c r="L403" s="21"/>
      <c r="M403" s="15"/>
      <c r="N403" s="42"/>
      <c r="O403" s="86">
        <f t="shared" si="111"/>
        <v>0</v>
      </c>
      <c r="P403" s="86">
        <f t="shared" si="111"/>
        <v>0</v>
      </c>
      <c r="Q403" s="86">
        <f t="shared" si="111"/>
        <v>0</v>
      </c>
      <c r="R403" s="86">
        <f t="shared" si="111"/>
        <v>0</v>
      </c>
      <c r="S403" s="86">
        <f t="shared" si="111"/>
        <v>0</v>
      </c>
      <c r="T403" s="86">
        <f t="shared" si="111"/>
        <v>0</v>
      </c>
      <c r="U403" s="87">
        <f t="shared" si="111"/>
        <v>0</v>
      </c>
      <c r="V403" s="15"/>
      <c r="W403" s="96">
        <f t="shared" si="105"/>
        <v>0</v>
      </c>
      <c r="X403" s="97">
        <f t="shared" si="106"/>
        <v>0</v>
      </c>
      <c r="Y403" s="98">
        <f t="shared" si="107"/>
        <v>0</v>
      </c>
      <c r="Z403" s="97">
        <f t="shared" si="108"/>
        <v>0</v>
      </c>
      <c r="AA403" s="98">
        <f t="shared" si="109"/>
        <v>0</v>
      </c>
      <c r="AB403" s="98">
        <f t="shared" si="110"/>
        <v>0</v>
      </c>
      <c r="AC403" s="91"/>
      <c r="AD403" s="92">
        <f t="shared" si="112"/>
        <v>0</v>
      </c>
    </row>
    <row r="404" spans="1:30" ht="11.25">
      <c r="A404" s="15"/>
      <c r="B404" s="93">
        <f>IF(C404&gt;$K$1,0,'Ranges and Data'!$A$10)</f>
        <v>0</v>
      </c>
      <c r="C404" s="94">
        <f t="shared" si="103"/>
        <v>43091.58333333258</v>
      </c>
      <c r="D404" s="85">
        <f t="shared" si="104"/>
        <v>0</v>
      </c>
      <c r="E404" s="15"/>
      <c r="F404" s="21"/>
      <c r="G404" s="21"/>
      <c r="H404" s="21"/>
      <c r="I404" s="21"/>
      <c r="J404" s="21"/>
      <c r="K404" s="21"/>
      <c r="L404" s="21"/>
      <c r="M404" s="15"/>
      <c r="N404" s="42"/>
      <c r="O404" s="86">
        <f t="shared" si="111"/>
        <v>0</v>
      </c>
      <c r="P404" s="86">
        <f t="shared" si="111"/>
        <v>0</v>
      </c>
      <c r="Q404" s="86">
        <f t="shared" si="111"/>
        <v>0</v>
      </c>
      <c r="R404" s="86">
        <f t="shared" si="111"/>
        <v>0</v>
      </c>
      <c r="S404" s="86">
        <f t="shared" si="111"/>
        <v>0</v>
      </c>
      <c r="T404" s="86">
        <f t="shared" si="111"/>
        <v>0</v>
      </c>
      <c r="U404" s="87">
        <f t="shared" si="111"/>
        <v>0</v>
      </c>
      <c r="V404" s="15"/>
      <c r="W404" s="96">
        <f t="shared" si="105"/>
        <v>0</v>
      </c>
      <c r="X404" s="97">
        <f t="shared" si="106"/>
        <v>0</v>
      </c>
      <c r="Y404" s="98">
        <f t="shared" si="107"/>
        <v>0</v>
      </c>
      <c r="Z404" s="97">
        <f t="shared" si="108"/>
        <v>0</v>
      </c>
      <c r="AA404" s="98">
        <f t="shared" si="109"/>
        <v>0</v>
      </c>
      <c r="AB404" s="98">
        <f t="shared" si="110"/>
        <v>0</v>
      </c>
      <c r="AC404" s="91"/>
      <c r="AD404" s="92">
        <f t="shared" si="112"/>
        <v>0</v>
      </c>
    </row>
    <row r="405" spans="1:30" ht="11.25">
      <c r="A405" s="15"/>
      <c r="B405" s="93">
        <f>IF(C405&gt;$K$1,0,'Ranges and Data'!$A$10)</f>
        <v>0</v>
      </c>
      <c r="C405" s="94">
        <f t="shared" si="103"/>
        <v>43121.99999999924</v>
      </c>
      <c r="D405" s="85">
        <f t="shared" si="104"/>
        <v>0</v>
      </c>
      <c r="E405" s="15"/>
      <c r="F405" s="21"/>
      <c r="G405" s="21"/>
      <c r="H405" s="21"/>
      <c r="I405" s="21"/>
      <c r="J405" s="21"/>
      <c r="K405" s="21"/>
      <c r="L405" s="21"/>
      <c r="M405" s="15"/>
      <c r="N405" s="42"/>
      <c r="O405" s="86">
        <f t="shared" si="111"/>
        <v>0</v>
      </c>
      <c r="P405" s="86">
        <f t="shared" si="111"/>
        <v>0</v>
      </c>
      <c r="Q405" s="86">
        <f t="shared" si="111"/>
        <v>0</v>
      </c>
      <c r="R405" s="86">
        <f t="shared" si="111"/>
        <v>0</v>
      </c>
      <c r="S405" s="86">
        <f t="shared" si="111"/>
        <v>0</v>
      </c>
      <c r="T405" s="86">
        <f t="shared" si="111"/>
        <v>0</v>
      </c>
      <c r="U405" s="87">
        <f t="shared" si="111"/>
        <v>0</v>
      </c>
      <c r="V405" s="15"/>
      <c r="W405" s="96">
        <f t="shared" si="105"/>
        <v>0</v>
      </c>
      <c r="X405" s="97">
        <f t="shared" si="106"/>
        <v>0</v>
      </c>
      <c r="Y405" s="98">
        <f t="shared" si="107"/>
        <v>0</v>
      </c>
      <c r="Z405" s="97">
        <f t="shared" si="108"/>
        <v>0</v>
      </c>
      <c r="AA405" s="98">
        <f t="shared" si="109"/>
        <v>0</v>
      </c>
      <c r="AB405" s="98">
        <f t="shared" si="110"/>
        <v>0</v>
      </c>
      <c r="AC405" s="91"/>
      <c r="AD405" s="92">
        <f t="shared" si="112"/>
        <v>0</v>
      </c>
    </row>
    <row r="406" spans="1:30" ht="11.25">
      <c r="A406" s="15"/>
      <c r="B406" s="93">
        <f>IF(C406&gt;$K$1,0,'Ranges and Data'!$A$10)</f>
        <v>0</v>
      </c>
      <c r="C406" s="94">
        <f t="shared" si="103"/>
        <v>43152.41666666591</v>
      </c>
      <c r="D406" s="85">
        <f t="shared" si="104"/>
        <v>0</v>
      </c>
      <c r="E406" s="15"/>
      <c r="F406" s="21"/>
      <c r="G406" s="21"/>
      <c r="H406" s="21"/>
      <c r="I406" s="21"/>
      <c r="J406" s="21"/>
      <c r="K406" s="21"/>
      <c r="L406" s="21"/>
      <c r="M406" s="15"/>
      <c r="N406" s="42"/>
      <c r="O406" s="86">
        <f t="shared" si="111"/>
        <v>0</v>
      </c>
      <c r="P406" s="86">
        <f t="shared" si="111"/>
        <v>0</v>
      </c>
      <c r="Q406" s="86">
        <f t="shared" si="111"/>
        <v>0</v>
      </c>
      <c r="R406" s="86">
        <f t="shared" si="111"/>
        <v>0</v>
      </c>
      <c r="S406" s="86">
        <f t="shared" si="111"/>
        <v>0</v>
      </c>
      <c r="T406" s="86">
        <f t="shared" si="111"/>
        <v>0</v>
      </c>
      <c r="U406" s="87">
        <f t="shared" si="111"/>
        <v>0</v>
      </c>
      <c r="V406" s="15"/>
      <c r="W406" s="96">
        <f t="shared" si="105"/>
        <v>0</v>
      </c>
      <c r="X406" s="97">
        <f t="shared" si="106"/>
        <v>0</v>
      </c>
      <c r="Y406" s="98">
        <f t="shared" si="107"/>
        <v>0</v>
      </c>
      <c r="Z406" s="97">
        <f t="shared" si="108"/>
        <v>0</v>
      </c>
      <c r="AA406" s="98">
        <f t="shared" si="109"/>
        <v>0</v>
      </c>
      <c r="AB406" s="98">
        <f t="shared" si="110"/>
        <v>0</v>
      </c>
      <c r="AC406" s="91"/>
      <c r="AD406" s="92">
        <f t="shared" si="112"/>
        <v>0</v>
      </c>
    </row>
    <row r="407" spans="1:30" ht="11.25">
      <c r="A407" s="15"/>
      <c r="B407" s="93">
        <f>IF(C407&gt;$K$1,0,'Ranges and Data'!$A$10)</f>
        <v>0</v>
      </c>
      <c r="C407" s="94">
        <f t="shared" si="103"/>
        <v>43182.83333333257</v>
      </c>
      <c r="D407" s="85">
        <f t="shared" si="104"/>
        <v>0</v>
      </c>
      <c r="E407" s="15"/>
      <c r="F407" s="21"/>
      <c r="G407" s="21"/>
      <c r="H407" s="21"/>
      <c r="I407" s="21"/>
      <c r="J407" s="21"/>
      <c r="K407" s="21"/>
      <c r="L407" s="21"/>
      <c r="M407" s="15"/>
      <c r="N407" s="42"/>
      <c r="O407" s="86">
        <f aca="true" t="shared" si="113" ref="O407:U443">$B407*O$7^$D407</f>
        <v>0</v>
      </c>
      <c r="P407" s="86">
        <f t="shared" si="113"/>
        <v>0</v>
      </c>
      <c r="Q407" s="86">
        <f t="shared" si="113"/>
        <v>0</v>
      </c>
      <c r="R407" s="86">
        <f t="shared" si="113"/>
        <v>0</v>
      </c>
      <c r="S407" s="86">
        <f t="shared" si="113"/>
        <v>0</v>
      </c>
      <c r="T407" s="86">
        <f t="shared" si="113"/>
        <v>0</v>
      </c>
      <c r="U407" s="87">
        <f t="shared" si="113"/>
        <v>0</v>
      </c>
      <c r="V407" s="15"/>
      <c r="W407" s="96">
        <f t="shared" si="105"/>
        <v>0</v>
      </c>
      <c r="X407" s="97">
        <f t="shared" si="106"/>
        <v>0</v>
      </c>
      <c r="Y407" s="98">
        <f t="shared" si="107"/>
        <v>0</v>
      </c>
      <c r="Z407" s="97">
        <f t="shared" si="108"/>
        <v>0</v>
      </c>
      <c r="AA407" s="98">
        <f t="shared" si="109"/>
        <v>0</v>
      </c>
      <c r="AB407" s="98">
        <f t="shared" si="110"/>
        <v>0</v>
      </c>
      <c r="AC407" s="91"/>
      <c r="AD407" s="92">
        <f t="shared" si="112"/>
        <v>0</v>
      </c>
    </row>
    <row r="408" spans="1:30" ht="11.25">
      <c r="A408" s="15"/>
      <c r="B408" s="93">
        <f>IF(C408&gt;$K$1,0,'Ranges and Data'!$A$10)</f>
        <v>0</v>
      </c>
      <c r="C408" s="94">
        <f t="shared" si="103"/>
        <v>43213.249999999236</v>
      </c>
      <c r="D408" s="85">
        <f t="shared" si="104"/>
        <v>0</v>
      </c>
      <c r="E408" s="15"/>
      <c r="F408" s="21"/>
      <c r="G408" s="21"/>
      <c r="H408" s="21"/>
      <c r="I408" s="21"/>
      <c r="J408" s="21"/>
      <c r="K408" s="21"/>
      <c r="L408" s="21"/>
      <c r="M408" s="15"/>
      <c r="N408" s="42"/>
      <c r="O408" s="86">
        <f t="shared" si="113"/>
        <v>0</v>
      </c>
      <c r="P408" s="86">
        <f t="shared" si="113"/>
        <v>0</v>
      </c>
      <c r="Q408" s="86">
        <f t="shared" si="113"/>
        <v>0</v>
      </c>
      <c r="R408" s="86">
        <f t="shared" si="113"/>
        <v>0</v>
      </c>
      <c r="S408" s="86">
        <f t="shared" si="113"/>
        <v>0</v>
      </c>
      <c r="T408" s="86">
        <f t="shared" si="113"/>
        <v>0</v>
      </c>
      <c r="U408" s="87">
        <f t="shared" si="113"/>
        <v>0</v>
      </c>
      <c r="V408" s="15"/>
      <c r="W408" s="96">
        <f t="shared" si="105"/>
        <v>0</v>
      </c>
      <c r="X408" s="97">
        <f t="shared" si="106"/>
        <v>0</v>
      </c>
      <c r="Y408" s="98">
        <f t="shared" si="107"/>
        <v>0</v>
      </c>
      <c r="Z408" s="97">
        <f t="shared" si="108"/>
        <v>0</v>
      </c>
      <c r="AA408" s="98">
        <f t="shared" si="109"/>
        <v>0</v>
      </c>
      <c r="AB408" s="98">
        <f t="shared" si="110"/>
        <v>0</v>
      </c>
      <c r="AC408" s="91"/>
      <c r="AD408" s="92">
        <f t="shared" si="112"/>
        <v>0</v>
      </c>
    </row>
    <row r="409" spans="1:30" ht="11.25">
      <c r="A409" s="15"/>
      <c r="B409" s="93">
        <f>IF(C409&gt;$K$1,0,'Ranges and Data'!$A$10)</f>
        <v>0</v>
      </c>
      <c r="C409" s="94">
        <f t="shared" si="103"/>
        <v>43243.6666666659</v>
      </c>
      <c r="D409" s="85">
        <f t="shared" si="104"/>
        <v>0</v>
      </c>
      <c r="E409" s="15"/>
      <c r="F409" s="21"/>
      <c r="G409" s="21"/>
      <c r="H409" s="21"/>
      <c r="I409" s="21"/>
      <c r="J409" s="21"/>
      <c r="K409" s="21"/>
      <c r="L409" s="21"/>
      <c r="M409" s="15"/>
      <c r="N409" s="42"/>
      <c r="O409" s="86">
        <f t="shared" si="113"/>
        <v>0</v>
      </c>
      <c r="P409" s="86">
        <f t="shared" si="113"/>
        <v>0</v>
      </c>
      <c r="Q409" s="86">
        <f t="shared" si="113"/>
        <v>0</v>
      </c>
      <c r="R409" s="86">
        <f t="shared" si="113"/>
        <v>0</v>
      </c>
      <c r="S409" s="86">
        <f t="shared" si="113"/>
        <v>0</v>
      </c>
      <c r="T409" s="86">
        <f t="shared" si="113"/>
        <v>0</v>
      </c>
      <c r="U409" s="87">
        <f t="shared" si="113"/>
        <v>0</v>
      </c>
      <c r="V409" s="15"/>
      <c r="W409" s="96">
        <f t="shared" si="105"/>
        <v>0</v>
      </c>
      <c r="X409" s="97">
        <f t="shared" si="106"/>
        <v>0</v>
      </c>
      <c r="Y409" s="98">
        <f t="shared" si="107"/>
        <v>0</v>
      </c>
      <c r="Z409" s="97">
        <f t="shared" si="108"/>
        <v>0</v>
      </c>
      <c r="AA409" s="98">
        <f t="shared" si="109"/>
        <v>0</v>
      </c>
      <c r="AB409" s="98">
        <f t="shared" si="110"/>
        <v>0</v>
      </c>
      <c r="AC409" s="91"/>
      <c r="AD409" s="92">
        <f t="shared" si="112"/>
        <v>0</v>
      </c>
    </row>
    <row r="410" spans="1:30" ht="11.25">
      <c r="A410" s="15"/>
      <c r="B410" s="93">
        <f>IF(C410&gt;$K$1,0,'Ranges and Data'!$A$10)</f>
        <v>0</v>
      </c>
      <c r="C410" s="94">
        <f t="shared" si="103"/>
        <v>43274.083333332565</v>
      </c>
      <c r="D410" s="85">
        <f t="shared" si="104"/>
        <v>0</v>
      </c>
      <c r="E410" s="15"/>
      <c r="F410" s="21"/>
      <c r="G410" s="21"/>
      <c r="H410" s="21"/>
      <c r="I410" s="21"/>
      <c r="J410" s="21"/>
      <c r="K410" s="21"/>
      <c r="L410" s="21"/>
      <c r="M410" s="15"/>
      <c r="N410" s="42"/>
      <c r="O410" s="86">
        <f t="shared" si="113"/>
        <v>0</v>
      </c>
      <c r="P410" s="86">
        <f t="shared" si="113"/>
        <v>0</v>
      </c>
      <c r="Q410" s="86">
        <f t="shared" si="113"/>
        <v>0</v>
      </c>
      <c r="R410" s="86">
        <f t="shared" si="113"/>
        <v>0</v>
      </c>
      <c r="S410" s="86">
        <f t="shared" si="113"/>
        <v>0</v>
      </c>
      <c r="T410" s="86">
        <f t="shared" si="113"/>
        <v>0</v>
      </c>
      <c r="U410" s="87">
        <f t="shared" si="113"/>
        <v>0</v>
      </c>
      <c r="V410" s="15"/>
      <c r="W410" s="96">
        <f t="shared" si="105"/>
        <v>0</v>
      </c>
      <c r="X410" s="97">
        <f t="shared" si="106"/>
        <v>0</v>
      </c>
      <c r="Y410" s="98">
        <f t="shared" si="107"/>
        <v>0</v>
      </c>
      <c r="Z410" s="97">
        <f t="shared" si="108"/>
        <v>0</v>
      </c>
      <c r="AA410" s="98">
        <f t="shared" si="109"/>
        <v>0</v>
      </c>
      <c r="AB410" s="98">
        <f t="shared" si="110"/>
        <v>0</v>
      </c>
      <c r="AC410" s="91"/>
      <c r="AD410" s="92">
        <f t="shared" si="112"/>
        <v>0</v>
      </c>
    </row>
    <row r="411" spans="1:30" ht="11.25">
      <c r="A411" s="15"/>
      <c r="B411" s="93">
        <f>IF(C411&gt;$K$1,0,'Ranges and Data'!$A$10)</f>
        <v>0</v>
      </c>
      <c r="C411" s="94">
        <f t="shared" si="103"/>
        <v>43304.49999999923</v>
      </c>
      <c r="D411" s="85">
        <f t="shared" si="104"/>
        <v>0</v>
      </c>
      <c r="E411" s="15"/>
      <c r="F411" s="21"/>
      <c r="G411" s="21"/>
      <c r="H411" s="21"/>
      <c r="I411" s="21"/>
      <c r="J411" s="21"/>
      <c r="K411" s="21"/>
      <c r="L411" s="21"/>
      <c r="M411" s="15"/>
      <c r="N411" s="42"/>
      <c r="O411" s="86">
        <f t="shared" si="113"/>
        <v>0</v>
      </c>
      <c r="P411" s="86">
        <f t="shared" si="113"/>
        <v>0</v>
      </c>
      <c r="Q411" s="86">
        <f t="shared" si="113"/>
        <v>0</v>
      </c>
      <c r="R411" s="86">
        <f t="shared" si="113"/>
        <v>0</v>
      </c>
      <c r="S411" s="86">
        <f t="shared" si="113"/>
        <v>0</v>
      </c>
      <c r="T411" s="86">
        <f t="shared" si="113"/>
        <v>0</v>
      </c>
      <c r="U411" s="87">
        <f t="shared" si="113"/>
        <v>0</v>
      </c>
      <c r="V411" s="15"/>
      <c r="W411" s="96">
        <f t="shared" si="105"/>
        <v>0</v>
      </c>
      <c r="X411" s="97">
        <f t="shared" si="106"/>
        <v>0</v>
      </c>
      <c r="Y411" s="98">
        <f t="shared" si="107"/>
        <v>0</v>
      </c>
      <c r="Z411" s="97">
        <f t="shared" si="108"/>
        <v>0</v>
      </c>
      <c r="AA411" s="98">
        <f t="shared" si="109"/>
        <v>0</v>
      </c>
      <c r="AB411" s="98">
        <f t="shared" si="110"/>
        <v>0</v>
      </c>
      <c r="AC411" s="91"/>
      <c r="AD411" s="92">
        <f t="shared" si="112"/>
        <v>0</v>
      </c>
    </row>
    <row r="412" spans="1:30" ht="11.25">
      <c r="A412" s="15"/>
      <c r="B412" s="93">
        <f>IF(C412&gt;$K$1,0,'Ranges and Data'!$A$10)</f>
        <v>0</v>
      </c>
      <c r="C412" s="94">
        <f aca="true" t="shared" si="114" ref="C412:C475">C411+(365/12)</f>
        <v>43334.91666666589</v>
      </c>
      <c r="D412" s="85">
        <f aca="true" t="shared" si="115" ref="D412:D475">IF(B412&lt;&gt;0,$K$1-C412,0)/365</f>
        <v>0</v>
      </c>
      <c r="E412" s="15"/>
      <c r="F412" s="21"/>
      <c r="G412" s="21"/>
      <c r="H412" s="21"/>
      <c r="I412" s="21"/>
      <c r="J412" s="21"/>
      <c r="K412" s="21"/>
      <c r="L412" s="21"/>
      <c r="M412" s="15"/>
      <c r="N412" s="42"/>
      <c r="O412" s="86">
        <f t="shared" si="113"/>
        <v>0</v>
      </c>
      <c r="P412" s="86">
        <f t="shared" si="113"/>
        <v>0</v>
      </c>
      <c r="Q412" s="86">
        <f t="shared" si="113"/>
        <v>0</v>
      </c>
      <c r="R412" s="86">
        <f t="shared" si="113"/>
        <v>0</v>
      </c>
      <c r="S412" s="86">
        <f t="shared" si="113"/>
        <v>0</v>
      </c>
      <c r="T412" s="86">
        <f t="shared" si="113"/>
        <v>0</v>
      </c>
      <c r="U412" s="87">
        <f t="shared" si="113"/>
        <v>0</v>
      </c>
      <c r="V412" s="15"/>
      <c r="W412" s="96">
        <f aca="true" t="shared" si="116" ref="W412:W475">$B412*I$3^$D412</f>
        <v>0</v>
      </c>
      <c r="X412" s="97">
        <f aca="true" t="shared" si="117" ref="X412:X475">W412*$D412/I$3</f>
        <v>0</v>
      </c>
      <c r="Y412" s="98">
        <f aca="true" t="shared" si="118" ref="Y412:Y475">$B412*I$4^$D412</f>
        <v>0</v>
      </c>
      <c r="Z412" s="97">
        <f aca="true" t="shared" si="119" ref="Z412:Z475">Y412*$D412/I$4</f>
        <v>0</v>
      </c>
      <c r="AA412" s="98">
        <f aca="true" t="shared" si="120" ref="AA412:AA475">$B412*I$5^$D412</f>
        <v>0</v>
      </c>
      <c r="AB412" s="98">
        <f aca="true" t="shared" si="121" ref="AB412:AB475">AA412*$D412/I$5</f>
        <v>0</v>
      </c>
      <c r="AC412" s="91"/>
      <c r="AD412" s="92">
        <f t="shared" si="112"/>
        <v>0</v>
      </c>
    </row>
    <row r="413" spans="1:30" ht="11.25">
      <c r="A413" s="15"/>
      <c r="B413" s="93">
        <f>IF(C413&gt;$K$1,0,'Ranges and Data'!$A$10)</f>
        <v>0</v>
      </c>
      <c r="C413" s="94">
        <f t="shared" si="114"/>
        <v>43365.33333333256</v>
      </c>
      <c r="D413" s="85">
        <f t="shared" si="115"/>
        <v>0</v>
      </c>
      <c r="E413" s="15"/>
      <c r="F413" s="21"/>
      <c r="G413" s="21"/>
      <c r="H413" s="21"/>
      <c r="I413" s="21"/>
      <c r="J413" s="21"/>
      <c r="K413" s="21"/>
      <c r="L413" s="21"/>
      <c r="M413" s="15"/>
      <c r="N413" s="42"/>
      <c r="O413" s="86">
        <f t="shared" si="113"/>
        <v>0</v>
      </c>
      <c r="P413" s="86">
        <f t="shared" si="113"/>
        <v>0</v>
      </c>
      <c r="Q413" s="86">
        <f t="shared" si="113"/>
        <v>0</v>
      </c>
      <c r="R413" s="86">
        <f t="shared" si="113"/>
        <v>0</v>
      </c>
      <c r="S413" s="86">
        <f t="shared" si="113"/>
        <v>0</v>
      </c>
      <c r="T413" s="86">
        <f t="shared" si="113"/>
        <v>0</v>
      </c>
      <c r="U413" s="87">
        <f t="shared" si="113"/>
        <v>0</v>
      </c>
      <c r="V413" s="15"/>
      <c r="W413" s="96">
        <f t="shared" si="116"/>
        <v>0</v>
      </c>
      <c r="X413" s="97">
        <f t="shared" si="117"/>
        <v>0</v>
      </c>
      <c r="Y413" s="98">
        <f t="shared" si="118"/>
        <v>0</v>
      </c>
      <c r="Z413" s="97">
        <f t="shared" si="119"/>
        <v>0</v>
      </c>
      <c r="AA413" s="98">
        <f t="shared" si="120"/>
        <v>0</v>
      </c>
      <c r="AB413" s="98">
        <f t="shared" si="121"/>
        <v>0</v>
      </c>
      <c r="AC413" s="91"/>
      <c r="AD413" s="92">
        <f t="shared" si="112"/>
        <v>0</v>
      </c>
    </row>
    <row r="414" spans="1:30" ht="11.25">
      <c r="A414" s="15"/>
      <c r="B414" s="93">
        <f>IF(C414&gt;$K$1,0,'Ranges and Data'!$A$10)</f>
        <v>0</v>
      </c>
      <c r="C414" s="94">
        <f t="shared" si="114"/>
        <v>43395.74999999922</v>
      </c>
      <c r="D414" s="85">
        <f t="shared" si="115"/>
        <v>0</v>
      </c>
      <c r="E414" s="15"/>
      <c r="F414" s="21"/>
      <c r="G414" s="21"/>
      <c r="H414" s="21"/>
      <c r="I414" s="21"/>
      <c r="J414" s="21"/>
      <c r="K414" s="21"/>
      <c r="L414" s="21"/>
      <c r="M414" s="15"/>
      <c r="N414" s="42"/>
      <c r="O414" s="86">
        <f t="shared" si="113"/>
        <v>0</v>
      </c>
      <c r="P414" s="86">
        <f t="shared" si="113"/>
        <v>0</v>
      </c>
      <c r="Q414" s="86">
        <f t="shared" si="113"/>
        <v>0</v>
      </c>
      <c r="R414" s="86">
        <f t="shared" si="113"/>
        <v>0</v>
      </c>
      <c r="S414" s="86">
        <f t="shared" si="113"/>
        <v>0</v>
      </c>
      <c r="T414" s="86">
        <f t="shared" si="113"/>
        <v>0</v>
      </c>
      <c r="U414" s="87">
        <f t="shared" si="113"/>
        <v>0</v>
      </c>
      <c r="V414" s="15"/>
      <c r="W414" s="96">
        <f t="shared" si="116"/>
        <v>0</v>
      </c>
      <c r="X414" s="97">
        <f t="shared" si="117"/>
        <v>0</v>
      </c>
      <c r="Y414" s="98">
        <f t="shared" si="118"/>
        <v>0</v>
      </c>
      <c r="Z414" s="97">
        <f t="shared" si="119"/>
        <v>0</v>
      </c>
      <c r="AA414" s="98">
        <f t="shared" si="120"/>
        <v>0</v>
      </c>
      <c r="AB414" s="98">
        <f t="shared" si="121"/>
        <v>0</v>
      </c>
      <c r="AC414" s="91"/>
      <c r="AD414" s="92">
        <f t="shared" si="112"/>
        <v>0</v>
      </c>
    </row>
    <row r="415" spans="1:30" ht="11.25">
      <c r="A415" s="15"/>
      <c r="B415" s="93">
        <f>IF(C415&gt;$K$1,0,'Ranges and Data'!$A$10)</f>
        <v>0</v>
      </c>
      <c r="C415" s="94">
        <f t="shared" si="114"/>
        <v>43426.166666665886</v>
      </c>
      <c r="D415" s="85">
        <f t="shared" si="115"/>
        <v>0</v>
      </c>
      <c r="E415" s="15"/>
      <c r="F415" s="21"/>
      <c r="G415" s="21"/>
      <c r="H415" s="21"/>
      <c r="I415" s="21"/>
      <c r="J415" s="21"/>
      <c r="K415" s="21"/>
      <c r="L415" s="21"/>
      <c r="M415" s="15"/>
      <c r="N415" s="42"/>
      <c r="O415" s="86">
        <f t="shared" si="113"/>
        <v>0</v>
      </c>
      <c r="P415" s="86">
        <f t="shared" si="113"/>
        <v>0</v>
      </c>
      <c r="Q415" s="86">
        <f t="shared" si="113"/>
        <v>0</v>
      </c>
      <c r="R415" s="86">
        <f t="shared" si="113"/>
        <v>0</v>
      </c>
      <c r="S415" s="86">
        <f t="shared" si="113"/>
        <v>0</v>
      </c>
      <c r="T415" s="86">
        <f t="shared" si="113"/>
        <v>0</v>
      </c>
      <c r="U415" s="87">
        <f t="shared" si="113"/>
        <v>0</v>
      </c>
      <c r="V415" s="15"/>
      <c r="W415" s="96">
        <f t="shared" si="116"/>
        <v>0</v>
      </c>
      <c r="X415" s="97">
        <f t="shared" si="117"/>
        <v>0</v>
      </c>
      <c r="Y415" s="98">
        <f t="shared" si="118"/>
        <v>0</v>
      </c>
      <c r="Z415" s="97">
        <f t="shared" si="119"/>
        <v>0</v>
      </c>
      <c r="AA415" s="98">
        <f t="shared" si="120"/>
        <v>0</v>
      </c>
      <c r="AB415" s="98">
        <f t="shared" si="121"/>
        <v>0</v>
      </c>
      <c r="AC415" s="91"/>
      <c r="AD415" s="92">
        <f t="shared" si="112"/>
        <v>0</v>
      </c>
    </row>
    <row r="416" spans="1:30" ht="11.25">
      <c r="A416" s="15"/>
      <c r="B416" s="93">
        <f>IF(C416&gt;$K$1,0,'Ranges and Data'!$A$10)</f>
        <v>0</v>
      </c>
      <c r="C416" s="94">
        <f t="shared" si="114"/>
        <v>43456.58333333255</v>
      </c>
      <c r="D416" s="85">
        <f t="shared" si="115"/>
        <v>0</v>
      </c>
      <c r="E416" s="15"/>
      <c r="F416" s="21"/>
      <c r="G416" s="21"/>
      <c r="H416" s="21"/>
      <c r="I416" s="21"/>
      <c r="J416" s="21"/>
      <c r="K416" s="21"/>
      <c r="L416" s="21"/>
      <c r="M416" s="15"/>
      <c r="N416" s="42"/>
      <c r="O416" s="86">
        <f t="shared" si="113"/>
        <v>0</v>
      </c>
      <c r="P416" s="86">
        <f t="shared" si="113"/>
        <v>0</v>
      </c>
      <c r="Q416" s="86">
        <f t="shared" si="113"/>
        <v>0</v>
      </c>
      <c r="R416" s="86">
        <f t="shared" si="113"/>
        <v>0</v>
      </c>
      <c r="S416" s="86">
        <f t="shared" si="113"/>
        <v>0</v>
      </c>
      <c r="T416" s="86">
        <f t="shared" si="113"/>
        <v>0</v>
      </c>
      <c r="U416" s="87">
        <f t="shared" si="113"/>
        <v>0</v>
      </c>
      <c r="V416" s="15"/>
      <c r="W416" s="96">
        <f t="shared" si="116"/>
        <v>0</v>
      </c>
      <c r="X416" s="97">
        <f t="shared" si="117"/>
        <v>0</v>
      </c>
      <c r="Y416" s="98">
        <f t="shared" si="118"/>
        <v>0</v>
      </c>
      <c r="Z416" s="97">
        <f t="shared" si="119"/>
        <v>0</v>
      </c>
      <c r="AA416" s="98">
        <f t="shared" si="120"/>
        <v>0</v>
      </c>
      <c r="AB416" s="98">
        <f t="shared" si="121"/>
        <v>0</v>
      </c>
      <c r="AC416" s="91"/>
      <c r="AD416" s="92">
        <f t="shared" si="112"/>
        <v>0</v>
      </c>
    </row>
    <row r="417" spans="1:30" ht="11.25">
      <c r="A417" s="15"/>
      <c r="B417" s="93">
        <f>IF(C417&gt;$K$1,0,'Ranges and Data'!$A$10)</f>
        <v>0</v>
      </c>
      <c r="C417" s="94">
        <f t="shared" si="114"/>
        <v>43486.999999999214</v>
      </c>
      <c r="D417" s="85">
        <f t="shared" si="115"/>
        <v>0</v>
      </c>
      <c r="E417" s="15"/>
      <c r="F417" s="21"/>
      <c r="G417" s="21"/>
      <c r="H417" s="21"/>
      <c r="I417" s="21"/>
      <c r="J417" s="21"/>
      <c r="K417" s="21"/>
      <c r="L417" s="21"/>
      <c r="M417" s="15"/>
      <c r="N417" s="42"/>
      <c r="O417" s="86">
        <f t="shared" si="113"/>
        <v>0</v>
      </c>
      <c r="P417" s="86">
        <f t="shared" si="113"/>
        <v>0</v>
      </c>
      <c r="Q417" s="86">
        <f t="shared" si="113"/>
        <v>0</v>
      </c>
      <c r="R417" s="86">
        <f t="shared" si="113"/>
        <v>0</v>
      </c>
      <c r="S417" s="86">
        <f t="shared" si="113"/>
        <v>0</v>
      </c>
      <c r="T417" s="86">
        <f t="shared" si="113"/>
        <v>0</v>
      </c>
      <c r="U417" s="87">
        <f t="shared" si="113"/>
        <v>0</v>
      </c>
      <c r="V417" s="15"/>
      <c r="W417" s="96">
        <f t="shared" si="116"/>
        <v>0</v>
      </c>
      <c r="X417" s="97">
        <f t="shared" si="117"/>
        <v>0</v>
      </c>
      <c r="Y417" s="98">
        <f t="shared" si="118"/>
        <v>0</v>
      </c>
      <c r="Z417" s="97">
        <f t="shared" si="119"/>
        <v>0</v>
      </c>
      <c r="AA417" s="98">
        <f t="shared" si="120"/>
        <v>0</v>
      </c>
      <c r="AB417" s="98">
        <f t="shared" si="121"/>
        <v>0</v>
      </c>
      <c r="AC417" s="91"/>
      <c r="AD417" s="92">
        <f t="shared" si="112"/>
        <v>0</v>
      </c>
    </row>
    <row r="418" spans="1:30" ht="11.25">
      <c r="A418" s="15"/>
      <c r="B418" s="93">
        <f>IF(C418&gt;$K$1,0,'Ranges and Data'!$A$10)</f>
        <v>0</v>
      </c>
      <c r="C418" s="94">
        <f t="shared" si="114"/>
        <v>43517.41666666588</v>
      </c>
      <c r="D418" s="85">
        <f t="shared" si="115"/>
        <v>0</v>
      </c>
      <c r="E418" s="15"/>
      <c r="F418" s="21"/>
      <c r="G418" s="21"/>
      <c r="H418" s="21"/>
      <c r="I418" s="21"/>
      <c r="J418" s="21"/>
      <c r="K418" s="21"/>
      <c r="L418" s="21"/>
      <c r="M418" s="15"/>
      <c r="N418" s="42"/>
      <c r="O418" s="86">
        <f t="shared" si="113"/>
        <v>0</v>
      </c>
      <c r="P418" s="86">
        <f t="shared" si="113"/>
        <v>0</v>
      </c>
      <c r="Q418" s="86">
        <f t="shared" si="113"/>
        <v>0</v>
      </c>
      <c r="R418" s="86">
        <f t="shared" si="113"/>
        <v>0</v>
      </c>
      <c r="S418" s="86">
        <f t="shared" si="113"/>
        <v>0</v>
      </c>
      <c r="T418" s="86">
        <f t="shared" si="113"/>
        <v>0</v>
      </c>
      <c r="U418" s="87">
        <f t="shared" si="113"/>
        <v>0</v>
      </c>
      <c r="V418" s="15"/>
      <c r="W418" s="96">
        <f t="shared" si="116"/>
        <v>0</v>
      </c>
      <c r="X418" s="97">
        <f t="shared" si="117"/>
        <v>0</v>
      </c>
      <c r="Y418" s="98">
        <f t="shared" si="118"/>
        <v>0</v>
      </c>
      <c r="Z418" s="97">
        <f t="shared" si="119"/>
        <v>0</v>
      </c>
      <c r="AA418" s="98">
        <f t="shared" si="120"/>
        <v>0</v>
      </c>
      <c r="AB418" s="98">
        <f t="shared" si="121"/>
        <v>0</v>
      </c>
      <c r="AC418" s="91"/>
      <c r="AD418" s="92">
        <f t="shared" si="112"/>
        <v>0</v>
      </c>
    </row>
    <row r="419" spans="1:30" ht="11.25">
      <c r="A419" s="15"/>
      <c r="B419" s="93">
        <f>IF(C419&gt;$K$1,0,'Ranges and Data'!$A$10)</f>
        <v>0</v>
      </c>
      <c r="C419" s="94">
        <f t="shared" si="114"/>
        <v>43547.83333333254</v>
      </c>
      <c r="D419" s="85">
        <f t="shared" si="115"/>
        <v>0</v>
      </c>
      <c r="E419" s="15"/>
      <c r="F419" s="21"/>
      <c r="G419" s="21"/>
      <c r="H419" s="21"/>
      <c r="I419" s="21"/>
      <c r="J419" s="21"/>
      <c r="K419" s="21"/>
      <c r="L419" s="21"/>
      <c r="M419" s="15"/>
      <c r="N419" s="42"/>
      <c r="O419" s="86">
        <f t="shared" si="113"/>
        <v>0</v>
      </c>
      <c r="P419" s="86">
        <f t="shared" si="113"/>
        <v>0</v>
      </c>
      <c r="Q419" s="86">
        <f t="shared" si="113"/>
        <v>0</v>
      </c>
      <c r="R419" s="86">
        <f t="shared" si="113"/>
        <v>0</v>
      </c>
      <c r="S419" s="86">
        <f t="shared" si="113"/>
        <v>0</v>
      </c>
      <c r="T419" s="86">
        <f t="shared" si="113"/>
        <v>0</v>
      </c>
      <c r="U419" s="87">
        <f t="shared" si="113"/>
        <v>0</v>
      </c>
      <c r="V419" s="15"/>
      <c r="W419" s="96">
        <f t="shared" si="116"/>
        <v>0</v>
      </c>
      <c r="X419" s="97">
        <f t="shared" si="117"/>
        <v>0</v>
      </c>
      <c r="Y419" s="98">
        <f t="shared" si="118"/>
        <v>0</v>
      </c>
      <c r="Z419" s="97">
        <f t="shared" si="119"/>
        <v>0</v>
      </c>
      <c r="AA419" s="98">
        <f t="shared" si="120"/>
        <v>0</v>
      </c>
      <c r="AB419" s="98">
        <f t="shared" si="121"/>
        <v>0</v>
      </c>
      <c r="AC419" s="91"/>
      <c r="AD419" s="92">
        <f t="shared" si="112"/>
        <v>0</v>
      </c>
    </row>
    <row r="420" spans="1:30" ht="11.25">
      <c r="A420" s="15"/>
      <c r="B420" s="93">
        <f>IF(C420&gt;$K$1,0,'Ranges and Data'!$A$10)</f>
        <v>0</v>
      </c>
      <c r="C420" s="94">
        <f t="shared" si="114"/>
        <v>43578.24999999921</v>
      </c>
      <c r="D420" s="85">
        <f t="shared" si="115"/>
        <v>0</v>
      </c>
      <c r="E420" s="15"/>
      <c r="F420" s="21"/>
      <c r="G420" s="21"/>
      <c r="H420" s="21"/>
      <c r="I420" s="21"/>
      <c r="J420" s="21"/>
      <c r="K420" s="21"/>
      <c r="L420" s="21"/>
      <c r="M420" s="15"/>
      <c r="N420" s="42"/>
      <c r="O420" s="86">
        <f t="shared" si="113"/>
        <v>0</v>
      </c>
      <c r="P420" s="86">
        <f t="shared" si="113"/>
        <v>0</v>
      </c>
      <c r="Q420" s="86">
        <f t="shared" si="113"/>
        <v>0</v>
      </c>
      <c r="R420" s="86">
        <f t="shared" si="113"/>
        <v>0</v>
      </c>
      <c r="S420" s="86">
        <f t="shared" si="113"/>
        <v>0</v>
      </c>
      <c r="T420" s="86">
        <f t="shared" si="113"/>
        <v>0</v>
      </c>
      <c r="U420" s="87">
        <f t="shared" si="113"/>
        <v>0</v>
      </c>
      <c r="V420" s="15"/>
      <c r="W420" s="96">
        <f t="shared" si="116"/>
        <v>0</v>
      </c>
      <c r="X420" s="97">
        <f t="shared" si="117"/>
        <v>0</v>
      </c>
      <c r="Y420" s="98">
        <f t="shared" si="118"/>
        <v>0</v>
      </c>
      <c r="Z420" s="97">
        <f t="shared" si="119"/>
        <v>0</v>
      </c>
      <c r="AA420" s="98">
        <f t="shared" si="120"/>
        <v>0</v>
      </c>
      <c r="AB420" s="98">
        <f t="shared" si="121"/>
        <v>0</v>
      </c>
      <c r="AC420" s="91"/>
      <c r="AD420" s="92">
        <f t="shared" si="112"/>
        <v>0</v>
      </c>
    </row>
    <row r="421" spans="1:30" ht="11.25">
      <c r="A421" s="15"/>
      <c r="B421" s="93">
        <f>IF(C421&gt;$K$1,0,'Ranges and Data'!$A$10)</f>
        <v>0</v>
      </c>
      <c r="C421" s="94">
        <f t="shared" si="114"/>
        <v>43608.66666666587</v>
      </c>
      <c r="D421" s="85">
        <f t="shared" si="115"/>
        <v>0</v>
      </c>
      <c r="E421" s="15"/>
      <c r="F421" s="21"/>
      <c r="G421" s="21"/>
      <c r="H421" s="21"/>
      <c r="I421" s="21"/>
      <c r="J421" s="21"/>
      <c r="K421" s="21"/>
      <c r="L421" s="21"/>
      <c r="M421" s="15"/>
      <c r="N421" s="42"/>
      <c r="O421" s="86">
        <f t="shared" si="113"/>
        <v>0</v>
      </c>
      <c r="P421" s="86">
        <f t="shared" si="113"/>
        <v>0</v>
      </c>
      <c r="Q421" s="86">
        <f t="shared" si="113"/>
        <v>0</v>
      </c>
      <c r="R421" s="86">
        <f t="shared" si="113"/>
        <v>0</v>
      </c>
      <c r="S421" s="86">
        <f t="shared" si="113"/>
        <v>0</v>
      </c>
      <c r="T421" s="86">
        <f t="shared" si="113"/>
        <v>0</v>
      </c>
      <c r="U421" s="87">
        <f t="shared" si="113"/>
        <v>0</v>
      </c>
      <c r="V421" s="15"/>
      <c r="W421" s="96">
        <f t="shared" si="116"/>
        <v>0</v>
      </c>
      <c r="X421" s="97">
        <f t="shared" si="117"/>
        <v>0</v>
      </c>
      <c r="Y421" s="98">
        <f t="shared" si="118"/>
        <v>0</v>
      </c>
      <c r="Z421" s="97">
        <f t="shared" si="119"/>
        <v>0</v>
      </c>
      <c r="AA421" s="98">
        <f t="shared" si="120"/>
        <v>0</v>
      </c>
      <c r="AB421" s="98">
        <f t="shared" si="121"/>
        <v>0</v>
      </c>
      <c r="AC421" s="91"/>
      <c r="AD421" s="92">
        <f t="shared" si="112"/>
        <v>0</v>
      </c>
    </row>
    <row r="422" spans="1:30" ht="11.25">
      <c r="A422" s="15"/>
      <c r="B422" s="93">
        <f>IF(C422&gt;$K$1,0,'Ranges and Data'!$A$10)</f>
        <v>0</v>
      </c>
      <c r="C422" s="94">
        <f t="shared" si="114"/>
        <v>43639.083333332535</v>
      </c>
      <c r="D422" s="85">
        <f t="shared" si="115"/>
        <v>0</v>
      </c>
      <c r="E422" s="15"/>
      <c r="F422" s="21"/>
      <c r="G422" s="21"/>
      <c r="H422" s="21"/>
      <c r="I422" s="21"/>
      <c r="J422" s="21"/>
      <c r="K422" s="21"/>
      <c r="L422" s="21"/>
      <c r="M422" s="15"/>
      <c r="N422" s="42"/>
      <c r="O422" s="86">
        <f t="shared" si="113"/>
        <v>0</v>
      </c>
      <c r="P422" s="86">
        <f t="shared" si="113"/>
        <v>0</v>
      </c>
      <c r="Q422" s="86">
        <f t="shared" si="113"/>
        <v>0</v>
      </c>
      <c r="R422" s="86">
        <f t="shared" si="113"/>
        <v>0</v>
      </c>
      <c r="S422" s="86">
        <f t="shared" si="113"/>
        <v>0</v>
      </c>
      <c r="T422" s="86">
        <f t="shared" si="113"/>
        <v>0</v>
      </c>
      <c r="U422" s="87">
        <f t="shared" si="113"/>
        <v>0</v>
      </c>
      <c r="V422" s="15"/>
      <c r="W422" s="96">
        <f t="shared" si="116"/>
        <v>0</v>
      </c>
      <c r="X422" s="97">
        <f t="shared" si="117"/>
        <v>0</v>
      </c>
      <c r="Y422" s="98">
        <f t="shared" si="118"/>
        <v>0</v>
      </c>
      <c r="Z422" s="97">
        <f t="shared" si="119"/>
        <v>0</v>
      </c>
      <c r="AA422" s="98">
        <f t="shared" si="120"/>
        <v>0</v>
      </c>
      <c r="AB422" s="98">
        <f t="shared" si="121"/>
        <v>0</v>
      </c>
      <c r="AC422" s="91"/>
      <c r="AD422" s="92">
        <f t="shared" si="112"/>
        <v>0</v>
      </c>
    </row>
    <row r="423" spans="1:30" ht="11.25">
      <c r="A423" s="15"/>
      <c r="B423" s="93">
        <f>IF(C423&gt;$K$1,0,'Ranges and Data'!$A$10)</f>
        <v>0</v>
      </c>
      <c r="C423" s="94">
        <f t="shared" si="114"/>
        <v>43669.4999999992</v>
      </c>
      <c r="D423" s="85">
        <f t="shared" si="115"/>
        <v>0</v>
      </c>
      <c r="E423" s="15"/>
      <c r="F423" s="21"/>
      <c r="G423" s="21"/>
      <c r="H423" s="21"/>
      <c r="I423" s="21"/>
      <c r="J423" s="21"/>
      <c r="K423" s="21"/>
      <c r="L423" s="21"/>
      <c r="M423" s="15"/>
      <c r="N423" s="42"/>
      <c r="O423" s="86">
        <f t="shared" si="113"/>
        <v>0</v>
      </c>
      <c r="P423" s="86">
        <f t="shared" si="113"/>
        <v>0</v>
      </c>
      <c r="Q423" s="86">
        <f t="shared" si="113"/>
        <v>0</v>
      </c>
      <c r="R423" s="86">
        <f t="shared" si="113"/>
        <v>0</v>
      </c>
      <c r="S423" s="86">
        <f t="shared" si="113"/>
        <v>0</v>
      </c>
      <c r="T423" s="86">
        <f t="shared" si="113"/>
        <v>0</v>
      </c>
      <c r="U423" s="87">
        <f t="shared" si="113"/>
        <v>0</v>
      </c>
      <c r="V423" s="15"/>
      <c r="W423" s="96">
        <f t="shared" si="116"/>
        <v>0</v>
      </c>
      <c r="X423" s="97">
        <f t="shared" si="117"/>
        <v>0</v>
      </c>
      <c r="Y423" s="98">
        <f t="shared" si="118"/>
        <v>0</v>
      </c>
      <c r="Z423" s="97">
        <f t="shared" si="119"/>
        <v>0</v>
      </c>
      <c r="AA423" s="98">
        <f t="shared" si="120"/>
        <v>0</v>
      </c>
      <c r="AB423" s="98">
        <f t="shared" si="121"/>
        <v>0</v>
      </c>
      <c r="AC423" s="91"/>
      <c r="AD423" s="92">
        <f t="shared" si="112"/>
        <v>0</v>
      </c>
    </row>
    <row r="424" spans="1:30" ht="11.25">
      <c r="A424" s="15"/>
      <c r="B424" s="93">
        <f>IF(C424&gt;$K$1,0,'Ranges and Data'!$A$10)</f>
        <v>0</v>
      </c>
      <c r="C424" s="94">
        <f t="shared" si="114"/>
        <v>43699.916666665864</v>
      </c>
      <c r="D424" s="85">
        <f t="shared" si="115"/>
        <v>0</v>
      </c>
      <c r="E424" s="15"/>
      <c r="F424" s="21"/>
      <c r="G424" s="21"/>
      <c r="H424" s="21"/>
      <c r="I424" s="21"/>
      <c r="J424" s="21"/>
      <c r="K424" s="21"/>
      <c r="L424" s="21"/>
      <c r="M424" s="15"/>
      <c r="N424" s="42"/>
      <c r="O424" s="86">
        <f t="shared" si="113"/>
        <v>0</v>
      </c>
      <c r="P424" s="86">
        <f t="shared" si="113"/>
        <v>0</v>
      </c>
      <c r="Q424" s="86">
        <f t="shared" si="113"/>
        <v>0</v>
      </c>
      <c r="R424" s="86">
        <f t="shared" si="113"/>
        <v>0</v>
      </c>
      <c r="S424" s="86">
        <f t="shared" si="113"/>
        <v>0</v>
      </c>
      <c r="T424" s="86">
        <f t="shared" si="113"/>
        <v>0</v>
      </c>
      <c r="U424" s="87">
        <f t="shared" si="113"/>
        <v>0</v>
      </c>
      <c r="V424" s="15"/>
      <c r="W424" s="96">
        <f t="shared" si="116"/>
        <v>0</v>
      </c>
      <c r="X424" s="97">
        <f t="shared" si="117"/>
        <v>0</v>
      </c>
      <c r="Y424" s="98">
        <f t="shared" si="118"/>
        <v>0</v>
      </c>
      <c r="Z424" s="97">
        <f t="shared" si="119"/>
        <v>0</v>
      </c>
      <c r="AA424" s="98">
        <f t="shared" si="120"/>
        <v>0</v>
      </c>
      <c r="AB424" s="98">
        <f t="shared" si="121"/>
        <v>0</v>
      </c>
      <c r="AC424" s="91"/>
      <c r="AD424" s="92">
        <f t="shared" si="112"/>
        <v>0</v>
      </c>
    </row>
    <row r="425" spans="1:30" ht="11.25">
      <c r="A425" s="15"/>
      <c r="B425" s="93">
        <f>IF(C425&gt;$K$1,0,'Ranges and Data'!$A$10)</f>
        <v>0</v>
      </c>
      <c r="C425" s="94">
        <f t="shared" si="114"/>
        <v>43730.33333333253</v>
      </c>
      <c r="D425" s="85">
        <f t="shared" si="115"/>
        <v>0</v>
      </c>
      <c r="E425" s="15"/>
      <c r="F425" s="21"/>
      <c r="G425" s="21"/>
      <c r="H425" s="21"/>
      <c r="I425" s="21"/>
      <c r="J425" s="21"/>
      <c r="K425" s="21"/>
      <c r="L425" s="21"/>
      <c r="M425" s="15"/>
      <c r="N425" s="42"/>
      <c r="O425" s="86">
        <f t="shared" si="113"/>
        <v>0</v>
      </c>
      <c r="P425" s="86">
        <f t="shared" si="113"/>
        <v>0</v>
      </c>
      <c r="Q425" s="86">
        <f t="shared" si="113"/>
        <v>0</v>
      </c>
      <c r="R425" s="86">
        <f t="shared" si="113"/>
        <v>0</v>
      </c>
      <c r="S425" s="86">
        <f t="shared" si="113"/>
        <v>0</v>
      </c>
      <c r="T425" s="86">
        <f t="shared" si="113"/>
        <v>0</v>
      </c>
      <c r="U425" s="87">
        <f t="shared" si="113"/>
        <v>0</v>
      </c>
      <c r="V425" s="15"/>
      <c r="W425" s="96">
        <f t="shared" si="116"/>
        <v>0</v>
      </c>
      <c r="X425" s="97">
        <f t="shared" si="117"/>
        <v>0</v>
      </c>
      <c r="Y425" s="98">
        <f t="shared" si="118"/>
        <v>0</v>
      </c>
      <c r="Z425" s="97">
        <f t="shared" si="119"/>
        <v>0</v>
      </c>
      <c r="AA425" s="98">
        <f t="shared" si="120"/>
        <v>0</v>
      </c>
      <c r="AB425" s="98">
        <f t="shared" si="121"/>
        <v>0</v>
      </c>
      <c r="AC425" s="91"/>
      <c r="AD425" s="92">
        <f t="shared" si="112"/>
        <v>0</v>
      </c>
    </row>
    <row r="426" spans="1:30" ht="11.25">
      <c r="A426" s="15"/>
      <c r="B426" s="93">
        <f>IF(C426&gt;$K$1,0,'Ranges and Data'!$A$10)</f>
        <v>0</v>
      </c>
      <c r="C426" s="94">
        <f t="shared" si="114"/>
        <v>43760.74999999919</v>
      </c>
      <c r="D426" s="85">
        <f t="shared" si="115"/>
        <v>0</v>
      </c>
      <c r="E426" s="15"/>
      <c r="F426" s="21"/>
      <c r="G426" s="21"/>
      <c r="H426" s="21"/>
      <c r="I426" s="21"/>
      <c r="J426" s="21"/>
      <c r="K426" s="21"/>
      <c r="L426" s="21"/>
      <c r="M426" s="15"/>
      <c r="N426" s="42"/>
      <c r="O426" s="86">
        <f t="shared" si="113"/>
        <v>0</v>
      </c>
      <c r="P426" s="86">
        <f t="shared" si="113"/>
        <v>0</v>
      </c>
      <c r="Q426" s="86">
        <f t="shared" si="113"/>
        <v>0</v>
      </c>
      <c r="R426" s="86">
        <f t="shared" si="113"/>
        <v>0</v>
      </c>
      <c r="S426" s="86">
        <f t="shared" si="113"/>
        <v>0</v>
      </c>
      <c r="T426" s="86">
        <f t="shared" si="113"/>
        <v>0</v>
      </c>
      <c r="U426" s="87">
        <f t="shared" si="113"/>
        <v>0</v>
      </c>
      <c r="V426" s="15"/>
      <c r="W426" s="96">
        <f t="shared" si="116"/>
        <v>0</v>
      </c>
      <c r="X426" s="97">
        <f t="shared" si="117"/>
        <v>0</v>
      </c>
      <c r="Y426" s="98">
        <f t="shared" si="118"/>
        <v>0</v>
      </c>
      <c r="Z426" s="97">
        <f t="shared" si="119"/>
        <v>0</v>
      </c>
      <c r="AA426" s="98">
        <f t="shared" si="120"/>
        <v>0</v>
      </c>
      <c r="AB426" s="98">
        <f t="shared" si="121"/>
        <v>0</v>
      </c>
      <c r="AC426" s="91"/>
      <c r="AD426" s="92">
        <f t="shared" si="112"/>
        <v>0</v>
      </c>
    </row>
    <row r="427" spans="1:30" ht="11.25">
      <c r="A427" s="15"/>
      <c r="B427" s="93">
        <f>IF(C427&gt;$K$1,0,'Ranges and Data'!$A$10)</f>
        <v>0</v>
      </c>
      <c r="C427" s="94">
        <f t="shared" si="114"/>
        <v>43791.16666666586</v>
      </c>
      <c r="D427" s="85">
        <f t="shared" si="115"/>
        <v>0</v>
      </c>
      <c r="E427" s="15"/>
      <c r="F427" s="21"/>
      <c r="G427" s="21"/>
      <c r="H427" s="21"/>
      <c r="I427" s="21"/>
      <c r="J427" s="21"/>
      <c r="K427" s="21"/>
      <c r="L427" s="21"/>
      <c r="M427" s="15"/>
      <c r="N427" s="42"/>
      <c r="O427" s="86">
        <f t="shared" si="113"/>
        <v>0</v>
      </c>
      <c r="P427" s="86">
        <f t="shared" si="113"/>
        <v>0</v>
      </c>
      <c r="Q427" s="86">
        <f t="shared" si="113"/>
        <v>0</v>
      </c>
      <c r="R427" s="86">
        <f t="shared" si="113"/>
        <v>0</v>
      </c>
      <c r="S427" s="86">
        <f t="shared" si="113"/>
        <v>0</v>
      </c>
      <c r="T427" s="86">
        <f t="shared" si="113"/>
        <v>0</v>
      </c>
      <c r="U427" s="87">
        <f t="shared" si="113"/>
        <v>0</v>
      </c>
      <c r="V427" s="15"/>
      <c r="W427" s="96">
        <f t="shared" si="116"/>
        <v>0</v>
      </c>
      <c r="X427" s="97">
        <f t="shared" si="117"/>
        <v>0</v>
      </c>
      <c r="Y427" s="98">
        <f t="shared" si="118"/>
        <v>0</v>
      </c>
      <c r="Z427" s="97">
        <f t="shared" si="119"/>
        <v>0</v>
      </c>
      <c r="AA427" s="98">
        <f t="shared" si="120"/>
        <v>0</v>
      </c>
      <c r="AB427" s="98">
        <f t="shared" si="121"/>
        <v>0</v>
      </c>
      <c r="AC427" s="91"/>
      <c r="AD427" s="92">
        <f t="shared" si="112"/>
        <v>0</v>
      </c>
    </row>
    <row r="428" spans="1:30" ht="11.25">
      <c r="A428" s="15"/>
      <c r="B428" s="93">
        <f>IF(C428&gt;$K$1,0,'Ranges and Data'!$A$10)</f>
        <v>0</v>
      </c>
      <c r="C428" s="94">
        <f t="shared" si="114"/>
        <v>43821.58333333252</v>
      </c>
      <c r="D428" s="85">
        <f t="shared" si="115"/>
        <v>0</v>
      </c>
      <c r="E428" s="15"/>
      <c r="F428" s="21"/>
      <c r="G428" s="21"/>
      <c r="H428" s="21"/>
      <c r="I428" s="21"/>
      <c r="J428" s="21"/>
      <c r="K428" s="21"/>
      <c r="L428" s="21"/>
      <c r="M428" s="15"/>
      <c r="N428" s="42"/>
      <c r="O428" s="86">
        <f t="shared" si="113"/>
        <v>0</v>
      </c>
      <c r="P428" s="86">
        <f t="shared" si="113"/>
        <v>0</v>
      </c>
      <c r="Q428" s="86">
        <f t="shared" si="113"/>
        <v>0</v>
      </c>
      <c r="R428" s="86">
        <f t="shared" si="113"/>
        <v>0</v>
      </c>
      <c r="S428" s="86">
        <f t="shared" si="113"/>
        <v>0</v>
      </c>
      <c r="T428" s="86">
        <f t="shared" si="113"/>
        <v>0</v>
      </c>
      <c r="U428" s="87">
        <f t="shared" si="113"/>
        <v>0</v>
      </c>
      <c r="V428" s="15"/>
      <c r="W428" s="96">
        <f t="shared" si="116"/>
        <v>0</v>
      </c>
      <c r="X428" s="97">
        <f t="shared" si="117"/>
        <v>0</v>
      </c>
      <c r="Y428" s="98">
        <f t="shared" si="118"/>
        <v>0</v>
      </c>
      <c r="Z428" s="97">
        <f t="shared" si="119"/>
        <v>0</v>
      </c>
      <c r="AA428" s="98">
        <f t="shared" si="120"/>
        <v>0</v>
      </c>
      <c r="AB428" s="98">
        <f t="shared" si="121"/>
        <v>0</v>
      </c>
      <c r="AC428" s="91"/>
      <c r="AD428" s="92">
        <f t="shared" si="112"/>
        <v>0</v>
      </c>
    </row>
    <row r="429" spans="1:30" ht="11.25">
      <c r="A429" s="15"/>
      <c r="B429" s="93">
        <f>IF(C429&gt;$K$1,0,'Ranges and Data'!$A$10)</f>
        <v>0</v>
      </c>
      <c r="C429" s="94">
        <f t="shared" si="114"/>
        <v>43851.999999999185</v>
      </c>
      <c r="D429" s="85">
        <f t="shared" si="115"/>
        <v>0</v>
      </c>
      <c r="E429" s="15"/>
      <c r="F429" s="21"/>
      <c r="G429" s="21"/>
      <c r="H429" s="21"/>
      <c r="I429" s="21"/>
      <c r="J429" s="21"/>
      <c r="K429" s="21"/>
      <c r="L429" s="21"/>
      <c r="M429" s="15"/>
      <c r="N429" s="42"/>
      <c r="O429" s="86">
        <f t="shared" si="113"/>
        <v>0</v>
      </c>
      <c r="P429" s="86">
        <f t="shared" si="113"/>
        <v>0</v>
      </c>
      <c r="Q429" s="86">
        <f t="shared" si="113"/>
        <v>0</v>
      </c>
      <c r="R429" s="86">
        <f t="shared" si="113"/>
        <v>0</v>
      </c>
      <c r="S429" s="86">
        <f t="shared" si="113"/>
        <v>0</v>
      </c>
      <c r="T429" s="86">
        <f t="shared" si="113"/>
        <v>0</v>
      </c>
      <c r="U429" s="87">
        <f t="shared" si="113"/>
        <v>0</v>
      </c>
      <c r="V429" s="15"/>
      <c r="W429" s="96">
        <f t="shared" si="116"/>
        <v>0</v>
      </c>
      <c r="X429" s="97">
        <f t="shared" si="117"/>
        <v>0</v>
      </c>
      <c r="Y429" s="98">
        <f t="shared" si="118"/>
        <v>0</v>
      </c>
      <c r="Z429" s="97">
        <f t="shared" si="119"/>
        <v>0</v>
      </c>
      <c r="AA429" s="98">
        <f t="shared" si="120"/>
        <v>0</v>
      </c>
      <c r="AB429" s="98">
        <f t="shared" si="121"/>
        <v>0</v>
      </c>
      <c r="AC429" s="91"/>
      <c r="AD429" s="92">
        <f t="shared" si="112"/>
        <v>0</v>
      </c>
    </row>
    <row r="430" spans="1:30" ht="11.25">
      <c r="A430" s="15"/>
      <c r="B430" s="93">
        <f>IF(C430&gt;$K$1,0,'Ranges and Data'!$A$10)</f>
        <v>0</v>
      </c>
      <c r="C430" s="94">
        <f t="shared" si="114"/>
        <v>43882.41666666585</v>
      </c>
      <c r="D430" s="85">
        <f t="shared" si="115"/>
        <v>0</v>
      </c>
      <c r="E430" s="15"/>
      <c r="F430" s="21"/>
      <c r="G430" s="21"/>
      <c r="H430" s="21"/>
      <c r="I430" s="21"/>
      <c r="J430" s="21"/>
      <c r="K430" s="21"/>
      <c r="L430" s="21"/>
      <c r="M430" s="15"/>
      <c r="N430" s="42"/>
      <c r="O430" s="86">
        <f t="shared" si="113"/>
        <v>0</v>
      </c>
      <c r="P430" s="86">
        <f t="shared" si="113"/>
        <v>0</v>
      </c>
      <c r="Q430" s="86">
        <f t="shared" si="113"/>
        <v>0</v>
      </c>
      <c r="R430" s="86">
        <f t="shared" si="113"/>
        <v>0</v>
      </c>
      <c r="S430" s="86">
        <f t="shared" si="113"/>
        <v>0</v>
      </c>
      <c r="T430" s="86">
        <f t="shared" si="113"/>
        <v>0</v>
      </c>
      <c r="U430" s="87">
        <f t="shared" si="113"/>
        <v>0</v>
      </c>
      <c r="V430" s="15"/>
      <c r="W430" s="96">
        <f t="shared" si="116"/>
        <v>0</v>
      </c>
      <c r="X430" s="97">
        <f t="shared" si="117"/>
        <v>0</v>
      </c>
      <c r="Y430" s="98">
        <f t="shared" si="118"/>
        <v>0</v>
      </c>
      <c r="Z430" s="97">
        <f t="shared" si="119"/>
        <v>0</v>
      </c>
      <c r="AA430" s="98">
        <f t="shared" si="120"/>
        <v>0</v>
      </c>
      <c r="AB430" s="98">
        <f t="shared" si="121"/>
        <v>0</v>
      </c>
      <c r="AC430" s="91"/>
      <c r="AD430" s="92">
        <f t="shared" si="112"/>
        <v>0</v>
      </c>
    </row>
    <row r="431" spans="1:30" ht="11.25">
      <c r="A431" s="15"/>
      <c r="B431" s="93">
        <f>IF(C431&gt;$K$1,0,'Ranges and Data'!$A$10)</f>
        <v>0</v>
      </c>
      <c r="C431" s="94">
        <f t="shared" si="114"/>
        <v>43912.83333333251</v>
      </c>
      <c r="D431" s="85">
        <f t="shared" si="115"/>
        <v>0</v>
      </c>
      <c r="E431" s="15"/>
      <c r="F431" s="21"/>
      <c r="G431" s="21"/>
      <c r="H431" s="21"/>
      <c r="I431" s="21"/>
      <c r="J431" s="21"/>
      <c r="K431" s="21"/>
      <c r="L431" s="21"/>
      <c r="M431" s="15"/>
      <c r="N431" s="42"/>
      <c r="O431" s="86">
        <f t="shared" si="113"/>
        <v>0</v>
      </c>
      <c r="P431" s="86">
        <f t="shared" si="113"/>
        <v>0</v>
      </c>
      <c r="Q431" s="86">
        <f t="shared" si="113"/>
        <v>0</v>
      </c>
      <c r="R431" s="86">
        <f t="shared" si="113"/>
        <v>0</v>
      </c>
      <c r="S431" s="86">
        <f t="shared" si="113"/>
        <v>0</v>
      </c>
      <c r="T431" s="86">
        <f t="shared" si="113"/>
        <v>0</v>
      </c>
      <c r="U431" s="87">
        <f t="shared" si="113"/>
        <v>0</v>
      </c>
      <c r="V431" s="15"/>
      <c r="W431" s="96">
        <f t="shared" si="116"/>
        <v>0</v>
      </c>
      <c r="X431" s="97">
        <f t="shared" si="117"/>
        <v>0</v>
      </c>
      <c r="Y431" s="98">
        <f t="shared" si="118"/>
        <v>0</v>
      </c>
      <c r="Z431" s="97">
        <f t="shared" si="119"/>
        <v>0</v>
      </c>
      <c r="AA431" s="98">
        <f t="shared" si="120"/>
        <v>0</v>
      </c>
      <c r="AB431" s="98">
        <f t="shared" si="121"/>
        <v>0</v>
      </c>
      <c r="AC431" s="91"/>
      <c r="AD431" s="92">
        <f t="shared" si="112"/>
        <v>0</v>
      </c>
    </row>
    <row r="432" spans="1:30" ht="11.25">
      <c r="A432" s="15"/>
      <c r="B432" s="93">
        <f>IF(C432&gt;$K$1,0,'Ranges and Data'!$A$10)</f>
        <v>0</v>
      </c>
      <c r="C432" s="94">
        <f t="shared" si="114"/>
        <v>43943.24999999918</v>
      </c>
      <c r="D432" s="85">
        <f t="shared" si="115"/>
        <v>0</v>
      </c>
      <c r="E432" s="15"/>
      <c r="F432" s="21"/>
      <c r="G432" s="21"/>
      <c r="H432" s="21"/>
      <c r="I432" s="21"/>
      <c r="J432" s="21"/>
      <c r="K432" s="21"/>
      <c r="L432" s="21"/>
      <c r="M432" s="15"/>
      <c r="N432" s="42"/>
      <c r="O432" s="86">
        <f t="shared" si="113"/>
        <v>0</v>
      </c>
      <c r="P432" s="86">
        <f t="shared" si="113"/>
        <v>0</v>
      </c>
      <c r="Q432" s="86">
        <f t="shared" si="113"/>
        <v>0</v>
      </c>
      <c r="R432" s="86">
        <f t="shared" si="113"/>
        <v>0</v>
      </c>
      <c r="S432" s="86">
        <f t="shared" si="113"/>
        <v>0</v>
      </c>
      <c r="T432" s="86">
        <f t="shared" si="113"/>
        <v>0</v>
      </c>
      <c r="U432" s="87">
        <f t="shared" si="113"/>
        <v>0</v>
      </c>
      <c r="V432" s="15"/>
      <c r="W432" s="96">
        <f t="shared" si="116"/>
        <v>0</v>
      </c>
      <c r="X432" s="97">
        <f t="shared" si="117"/>
        <v>0</v>
      </c>
      <c r="Y432" s="98">
        <f t="shared" si="118"/>
        <v>0</v>
      </c>
      <c r="Z432" s="97">
        <f t="shared" si="119"/>
        <v>0</v>
      </c>
      <c r="AA432" s="98">
        <f t="shared" si="120"/>
        <v>0</v>
      </c>
      <c r="AB432" s="98">
        <f t="shared" si="121"/>
        <v>0</v>
      </c>
      <c r="AC432" s="91"/>
      <c r="AD432" s="92">
        <f t="shared" si="112"/>
        <v>0</v>
      </c>
    </row>
    <row r="433" spans="1:30" ht="11.25">
      <c r="A433" s="15"/>
      <c r="B433" s="93">
        <f>IF(C433&gt;$K$1,0,'Ranges and Data'!$A$10)</f>
        <v>0</v>
      </c>
      <c r="C433" s="94">
        <f t="shared" si="114"/>
        <v>43973.66666666584</v>
      </c>
      <c r="D433" s="85">
        <f t="shared" si="115"/>
        <v>0</v>
      </c>
      <c r="E433" s="15"/>
      <c r="F433" s="21"/>
      <c r="G433" s="21"/>
      <c r="H433" s="21"/>
      <c r="I433" s="21"/>
      <c r="J433" s="21"/>
      <c r="K433" s="21"/>
      <c r="L433" s="21"/>
      <c r="M433" s="15"/>
      <c r="N433" s="42"/>
      <c r="O433" s="86">
        <f t="shared" si="113"/>
        <v>0</v>
      </c>
      <c r="P433" s="86">
        <f t="shared" si="113"/>
        <v>0</v>
      </c>
      <c r="Q433" s="86">
        <f t="shared" si="113"/>
        <v>0</v>
      </c>
      <c r="R433" s="86">
        <f t="shared" si="113"/>
        <v>0</v>
      </c>
      <c r="S433" s="86">
        <f t="shared" si="113"/>
        <v>0</v>
      </c>
      <c r="T433" s="86">
        <f t="shared" si="113"/>
        <v>0</v>
      </c>
      <c r="U433" s="87">
        <f t="shared" si="113"/>
        <v>0</v>
      </c>
      <c r="V433" s="15"/>
      <c r="W433" s="96">
        <f t="shared" si="116"/>
        <v>0</v>
      </c>
      <c r="X433" s="97">
        <f t="shared" si="117"/>
        <v>0</v>
      </c>
      <c r="Y433" s="98">
        <f t="shared" si="118"/>
        <v>0</v>
      </c>
      <c r="Z433" s="97">
        <f t="shared" si="119"/>
        <v>0</v>
      </c>
      <c r="AA433" s="98">
        <f t="shared" si="120"/>
        <v>0</v>
      </c>
      <c r="AB433" s="98">
        <f t="shared" si="121"/>
        <v>0</v>
      </c>
      <c r="AC433" s="91"/>
      <c r="AD433" s="92">
        <f t="shared" si="112"/>
        <v>0</v>
      </c>
    </row>
    <row r="434" spans="1:30" ht="11.25">
      <c r="A434" s="15"/>
      <c r="B434" s="93">
        <f>IF(C434&gt;$K$1,0,'Ranges and Data'!$A$10)</f>
        <v>0</v>
      </c>
      <c r="C434" s="94">
        <f t="shared" si="114"/>
        <v>44004.083333332506</v>
      </c>
      <c r="D434" s="85">
        <f t="shared" si="115"/>
        <v>0</v>
      </c>
      <c r="E434" s="15"/>
      <c r="F434" s="21"/>
      <c r="G434" s="21"/>
      <c r="H434" s="21"/>
      <c r="I434" s="21"/>
      <c r="J434" s="21"/>
      <c r="K434" s="21"/>
      <c r="L434" s="21"/>
      <c r="M434" s="15"/>
      <c r="N434" s="42"/>
      <c r="O434" s="86">
        <f t="shared" si="113"/>
        <v>0</v>
      </c>
      <c r="P434" s="86">
        <f t="shared" si="113"/>
        <v>0</v>
      </c>
      <c r="Q434" s="86">
        <f t="shared" si="113"/>
        <v>0</v>
      </c>
      <c r="R434" s="86">
        <f t="shared" si="113"/>
        <v>0</v>
      </c>
      <c r="S434" s="86">
        <f t="shared" si="113"/>
        <v>0</v>
      </c>
      <c r="T434" s="86">
        <f t="shared" si="113"/>
        <v>0</v>
      </c>
      <c r="U434" s="87">
        <f t="shared" si="113"/>
        <v>0</v>
      </c>
      <c r="V434" s="15"/>
      <c r="W434" s="96">
        <f t="shared" si="116"/>
        <v>0</v>
      </c>
      <c r="X434" s="97">
        <f t="shared" si="117"/>
        <v>0</v>
      </c>
      <c r="Y434" s="98">
        <f t="shared" si="118"/>
        <v>0</v>
      </c>
      <c r="Z434" s="97">
        <f t="shared" si="119"/>
        <v>0</v>
      </c>
      <c r="AA434" s="98">
        <f t="shared" si="120"/>
        <v>0</v>
      </c>
      <c r="AB434" s="98">
        <f t="shared" si="121"/>
        <v>0</v>
      </c>
      <c r="AC434" s="91"/>
      <c r="AD434" s="92">
        <f t="shared" si="112"/>
        <v>0</v>
      </c>
    </row>
    <row r="435" spans="1:30" ht="11.25">
      <c r="A435" s="15"/>
      <c r="B435" s="93">
        <f>IF(C435&gt;$K$1,0,'Ranges and Data'!$A$10)</f>
        <v>0</v>
      </c>
      <c r="C435" s="94">
        <f t="shared" si="114"/>
        <v>44034.49999999917</v>
      </c>
      <c r="D435" s="85">
        <f t="shared" si="115"/>
        <v>0</v>
      </c>
      <c r="E435" s="15"/>
      <c r="F435" s="21"/>
      <c r="G435" s="21"/>
      <c r="H435" s="21"/>
      <c r="I435" s="21"/>
      <c r="J435" s="21"/>
      <c r="K435" s="21"/>
      <c r="L435" s="21"/>
      <c r="M435" s="15"/>
      <c r="N435" s="42"/>
      <c r="O435" s="86">
        <f t="shared" si="113"/>
        <v>0</v>
      </c>
      <c r="P435" s="86">
        <f t="shared" si="113"/>
        <v>0</v>
      </c>
      <c r="Q435" s="86">
        <f t="shared" si="113"/>
        <v>0</v>
      </c>
      <c r="R435" s="86">
        <f t="shared" si="113"/>
        <v>0</v>
      </c>
      <c r="S435" s="86">
        <f t="shared" si="113"/>
        <v>0</v>
      </c>
      <c r="T435" s="86">
        <f t="shared" si="113"/>
        <v>0</v>
      </c>
      <c r="U435" s="87">
        <f t="shared" si="113"/>
        <v>0</v>
      </c>
      <c r="V435" s="15"/>
      <c r="W435" s="96">
        <f t="shared" si="116"/>
        <v>0</v>
      </c>
      <c r="X435" s="97">
        <f t="shared" si="117"/>
        <v>0</v>
      </c>
      <c r="Y435" s="98">
        <f t="shared" si="118"/>
        <v>0</v>
      </c>
      <c r="Z435" s="97">
        <f t="shared" si="119"/>
        <v>0</v>
      </c>
      <c r="AA435" s="98">
        <f t="shared" si="120"/>
        <v>0</v>
      </c>
      <c r="AB435" s="98">
        <f t="shared" si="121"/>
        <v>0</v>
      </c>
      <c r="AC435" s="91"/>
      <c r="AD435" s="92">
        <f t="shared" si="112"/>
        <v>0</v>
      </c>
    </row>
    <row r="436" spans="1:30" ht="11.25">
      <c r="A436" s="15"/>
      <c r="B436" s="93">
        <f>IF(C436&gt;$K$1,0,'Ranges and Data'!$A$10)</f>
        <v>0</v>
      </c>
      <c r="C436" s="94">
        <f t="shared" si="114"/>
        <v>44064.916666665835</v>
      </c>
      <c r="D436" s="85">
        <f t="shared" si="115"/>
        <v>0</v>
      </c>
      <c r="E436" s="15"/>
      <c r="F436" s="21"/>
      <c r="G436" s="21"/>
      <c r="H436" s="21"/>
      <c r="I436" s="21"/>
      <c r="J436" s="21"/>
      <c r="K436" s="21"/>
      <c r="L436" s="21"/>
      <c r="M436" s="15"/>
      <c r="N436" s="42"/>
      <c r="O436" s="86">
        <f t="shared" si="113"/>
        <v>0</v>
      </c>
      <c r="P436" s="86">
        <f t="shared" si="113"/>
        <v>0</v>
      </c>
      <c r="Q436" s="86">
        <f t="shared" si="113"/>
        <v>0</v>
      </c>
      <c r="R436" s="86">
        <f t="shared" si="113"/>
        <v>0</v>
      </c>
      <c r="S436" s="86">
        <f t="shared" si="113"/>
        <v>0</v>
      </c>
      <c r="T436" s="86">
        <f t="shared" si="113"/>
        <v>0</v>
      </c>
      <c r="U436" s="87">
        <f t="shared" si="113"/>
        <v>0</v>
      </c>
      <c r="V436" s="15"/>
      <c r="W436" s="96">
        <f t="shared" si="116"/>
        <v>0</v>
      </c>
      <c r="X436" s="97">
        <f t="shared" si="117"/>
        <v>0</v>
      </c>
      <c r="Y436" s="98">
        <f t="shared" si="118"/>
        <v>0</v>
      </c>
      <c r="Z436" s="97">
        <f t="shared" si="119"/>
        <v>0</v>
      </c>
      <c r="AA436" s="98">
        <f t="shared" si="120"/>
        <v>0</v>
      </c>
      <c r="AB436" s="98">
        <f t="shared" si="121"/>
        <v>0</v>
      </c>
      <c r="AC436" s="91"/>
      <c r="AD436" s="92">
        <f t="shared" si="112"/>
        <v>0</v>
      </c>
    </row>
    <row r="437" spans="1:30" ht="11.25">
      <c r="A437" s="15"/>
      <c r="B437" s="93">
        <f>IF(C437&gt;$K$1,0,'Ranges and Data'!$A$10)</f>
        <v>0</v>
      </c>
      <c r="C437" s="94">
        <f t="shared" si="114"/>
        <v>44095.3333333325</v>
      </c>
      <c r="D437" s="85">
        <f t="shared" si="115"/>
        <v>0</v>
      </c>
      <c r="E437" s="15"/>
      <c r="F437" s="21"/>
      <c r="G437" s="21"/>
      <c r="H437" s="21"/>
      <c r="I437" s="21"/>
      <c r="J437" s="21"/>
      <c r="K437" s="21"/>
      <c r="L437" s="21"/>
      <c r="M437" s="15"/>
      <c r="N437" s="42"/>
      <c r="O437" s="86">
        <f t="shared" si="113"/>
        <v>0</v>
      </c>
      <c r="P437" s="86">
        <f t="shared" si="113"/>
        <v>0</v>
      </c>
      <c r="Q437" s="86">
        <f t="shared" si="113"/>
        <v>0</v>
      </c>
      <c r="R437" s="86">
        <f t="shared" si="113"/>
        <v>0</v>
      </c>
      <c r="S437" s="86">
        <f t="shared" si="113"/>
        <v>0</v>
      </c>
      <c r="T437" s="86">
        <f t="shared" si="113"/>
        <v>0</v>
      </c>
      <c r="U437" s="87">
        <f t="shared" si="113"/>
        <v>0</v>
      </c>
      <c r="V437" s="15"/>
      <c r="W437" s="96">
        <f t="shared" si="116"/>
        <v>0</v>
      </c>
      <c r="X437" s="97">
        <f t="shared" si="117"/>
        <v>0</v>
      </c>
      <c r="Y437" s="98">
        <f t="shared" si="118"/>
        <v>0</v>
      </c>
      <c r="Z437" s="97">
        <f t="shared" si="119"/>
        <v>0</v>
      </c>
      <c r="AA437" s="98">
        <f t="shared" si="120"/>
        <v>0</v>
      </c>
      <c r="AB437" s="98">
        <f t="shared" si="121"/>
        <v>0</v>
      </c>
      <c r="AC437" s="91"/>
      <c r="AD437" s="92">
        <f t="shared" si="112"/>
        <v>0</v>
      </c>
    </row>
    <row r="438" spans="1:30" ht="11.25">
      <c r="A438" s="15"/>
      <c r="B438" s="93">
        <f>IF(C438&gt;$K$1,0,'Ranges and Data'!$A$10)</f>
        <v>0</v>
      </c>
      <c r="C438" s="94">
        <f t="shared" si="114"/>
        <v>44125.74999999916</v>
      </c>
      <c r="D438" s="85">
        <f t="shared" si="115"/>
        <v>0</v>
      </c>
      <c r="E438" s="15"/>
      <c r="F438" s="21"/>
      <c r="G438" s="21"/>
      <c r="H438" s="21"/>
      <c r="I438" s="21"/>
      <c r="J438" s="21"/>
      <c r="K438" s="21"/>
      <c r="L438" s="21"/>
      <c r="M438" s="15"/>
      <c r="N438" s="42"/>
      <c r="O438" s="86">
        <f t="shared" si="113"/>
        <v>0</v>
      </c>
      <c r="P438" s="86">
        <f t="shared" si="113"/>
        <v>0</v>
      </c>
      <c r="Q438" s="86">
        <f t="shared" si="113"/>
        <v>0</v>
      </c>
      <c r="R438" s="86">
        <f t="shared" si="113"/>
        <v>0</v>
      </c>
      <c r="S438" s="86">
        <f t="shared" si="113"/>
        <v>0</v>
      </c>
      <c r="T438" s="86">
        <f t="shared" si="113"/>
        <v>0</v>
      </c>
      <c r="U438" s="87">
        <f t="shared" si="113"/>
        <v>0</v>
      </c>
      <c r="V438" s="15"/>
      <c r="W438" s="96">
        <f t="shared" si="116"/>
        <v>0</v>
      </c>
      <c r="X438" s="97">
        <f t="shared" si="117"/>
        <v>0</v>
      </c>
      <c r="Y438" s="98">
        <f t="shared" si="118"/>
        <v>0</v>
      </c>
      <c r="Z438" s="97">
        <f t="shared" si="119"/>
        <v>0</v>
      </c>
      <c r="AA438" s="98">
        <f t="shared" si="120"/>
        <v>0</v>
      </c>
      <c r="AB438" s="98">
        <f t="shared" si="121"/>
        <v>0</v>
      </c>
      <c r="AC438" s="91"/>
      <c r="AD438" s="92">
        <f t="shared" si="112"/>
        <v>0</v>
      </c>
    </row>
    <row r="439" spans="1:30" ht="11.25">
      <c r="A439" s="15"/>
      <c r="B439" s="93">
        <f>IF(C439&gt;$K$1,0,'Ranges and Data'!$A$10)</f>
        <v>0</v>
      </c>
      <c r="C439" s="94">
        <f t="shared" si="114"/>
        <v>44156.16666666583</v>
      </c>
      <c r="D439" s="85">
        <f t="shared" si="115"/>
        <v>0</v>
      </c>
      <c r="E439" s="15"/>
      <c r="F439" s="21"/>
      <c r="G439" s="21"/>
      <c r="H439" s="21"/>
      <c r="I439" s="21"/>
      <c r="J439" s="21"/>
      <c r="K439" s="21"/>
      <c r="L439" s="21"/>
      <c r="M439" s="15"/>
      <c r="N439" s="42"/>
      <c r="O439" s="86">
        <f t="shared" si="113"/>
        <v>0</v>
      </c>
      <c r="P439" s="86">
        <f t="shared" si="113"/>
        <v>0</v>
      </c>
      <c r="Q439" s="86">
        <f t="shared" si="113"/>
        <v>0</v>
      </c>
      <c r="R439" s="86">
        <f t="shared" si="113"/>
        <v>0</v>
      </c>
      <c r="S439" s="86">
        <f t="shared" si="113"/>
        <v>0</v>
      </c>
      <c r="T439" s="86">
        <f t="shared" si="113"/>
        <v>0</v>
      </c>
      <c r="U439" s="87">
        <f t="shared" si="113"/>
        <v>0</v>
      </c>
      <c r="V439" s="15"/>
      <c r="W439" s="96">
        <f t="shared" si="116"/>
        <v>0</v>
      </c>
      <c r="X439" s="97">
        <f t="shared" si="117"/>
        <v>0</v>
      </c>
      <c r="Y439" s="98">
        <f t="shared" si="118"/>
        <v>0</v>
      </c>
      <c r="Z439" s="97">
        <f t="shared" si="119"/>
        <v>0</v>
      </c>
      <c r="AA439" s="98">
        <f t="shared" si="120"/>
        <v>0</v>
      </c>
      <c r="AB439" s="98">
        <f t="shared" si="121"/>
        <v>0</v>
      </c>
      <c r="AC439" s="91"/>
      <c r="AD439" s="92">
        <f t="shared" si="112"/>
        <v>0</v>
      </c>
    </row>
    <row r="440" spans="1:30" ht="11.25">
      <c r="A440" s="15"/>
      <c r="B440" s="93">
        <f>IF(C440&gt;$K$1,0,'Ranges and Data'!$A$10)</f>
        <v>0</v>
      </c>
      <c r="C440" s="94">
        <f t="shared" si="114"/>
        <v>44186.58333333249</v>
      </c>
      <c r="D440" s="85">
        <f t="shared" si="115"/>
        <v>0</v>
      </c>
      <c r="E440" s="15"/>
      <c r="F440" s="21"/>
      <c r="G440" s="21"/>
      <c r="H440" s="21"/>
      <c r="I440" s="21"/>
      <c r="J440" s="21"/>
      <c r="K440" s="21"/>
      <c r="L440" s="21"/>
      <c r="M440" s="15"/>
      <c r="N440" s="42"/>
      <c r="O440" s="86">
        <f t="shared" si="113"/>
        <v>0</v>
      </c>
      <c r="P440" s="86">
        <f t="shared" si="113"/>
        <v>0</v>
      </c>
      <c r="Q440" s="86">
        <f t="shared" si="113"/>
        <v>0</v>
      </c>
      <c r="R440" s="86">
        <f t="shared" si="113"/>
        <v>0</v>
      </c>
      <c r="S440" s="86">
        <f t="shared" si="113"/>
        <v>0</v>
      </c>
      <c r="T440" s="86">
        <f t="shared" si="113"/>
        <v>0</v>
      </c>
      <c r="U440" s="87">
        <f t="shared" si="113"/>
        <v>0</v>
      </c>
      <c r="V440" s="15"/>
      <c r="W440" s="96">
        <f t="shared" si="116"/>
        <v>0</v>
      </c>
      <c r="X440" s="97">
        <f t="shared" si="117"/>
        <v>0</v>
      </c>
      <c r="Y440" s="98">
        <f t="shared" si="118"/>
        <v>0</v>
      </c>
      <c r="Z440" s="97">
        <f t="shared" si="119"/>
        <v>0</v>
      </c>
      <c r="AA440" s="98">
        <f t="shared" si="120"/>
        <v>0</v>
      </c>
      <c r="AB440" s="98">
        <f t="shared" si="121"/>
        <v>0</v>
      </c>
      <c r="AC440" s="91"/>
      <c r="AD440" s="92">
        <f t="shared" si="112"/>
        <v>0</v>
      </c>
    </row>
    <row r="441" spans="1:30" ht="11.25">
      <c r="A441" s="15"/>
      <c r="B441" s="93">
        <f>IF(C441&gt;$K$1,0,'Ranges and Data'!$A$10)</f>
        <v>0</v>
      </c>
      <c r="C441" s="94">
        <f t="shared" si="114"/>
        <v>44216.999999999156</v>
      </c>
      <c r="D441" s="85">
        <f t="shared" si="115"/>
        <v>0</v>
      </c>
      <c r="E441" s="15"/>
      <c r="F441" s="21"/>
      <c r="G441" s="21"/>
      <c r="H441" s="21"/>
      <c r="I441" s="21"/>
      <c r="J441" s="21"/>
      <c r="K441" s="21"/>
      <c r="L441" s="21"/>
      <c r="M441" s="15"/>
      <c r="N441" s="42"/>
      <c r="O441" s="86">
        <f t="shared" si="113"/>
        <v>0</v>
      </c>
      <c r="P441" s="86">
        <f t="shared" si="113"/>
        <v>0</v>
      </c>
      <c r="Q441" s="86">
        <f t="shared" si="113"/>
        <v>0</v>
      </c>
      <c r="R441" s="86">
        <f t="shared" si="113"/>
        <v>0</v>
      </c>
      <c r="S441" s="86">
        <f t="shared" si="113"/>
        <v>0</v>
      </c>
      <c r="T441" s="86">
        <f t="shared" si="113"/>
        <v>0</v>
      </c>
      <c r="U441" s="87">
        <f t="shared" si="113"/>
        <v>0</v>
      </c>
      <c r="V441" s="15"/>
      <c r="W441" s="96">
        <f t="shared" si="116"/>
        <v>0</v>
      </c>
      <c r="X441" s="97">
        <f t="shared" si="117"/>
        <v>0</v>
      </c>
      <c r="Y441" s="98">
        <f t="shared" si="118"/>
        <v>0</v>
      </c>
      <c r="Z441" s="97">
        <f t="shared" si="119"/>
        <v>0</v>
      </c>
      <c r="AA441" s="98">
        <f t="shared" si="120"/>
        <v>0</v>
      </c>
      <c r="AB441" s="98">
        <f t="shared" si="121"/>
        <v>0</v>
      </c>
      <c r="AC441" s="91"/>
      <c r="AD441" s="92">
        <f t="shared" si="112"/>
        <v>0</v>
      </c>
    </row>
    <row r="442" spans="1:30" ht="11.25">
      <c r="A442" s="15"/>
      <c r="B442" s="93">
        <f>IF(C442&gt;$K$1,0,'Ranges and Data'!$A$10)</f>
        <v>0</v>
      </c>
      <c r="C442" s="94">
        <f t="shared" si="114"/>
        <v>44247.41666666582</v>
      </c>
      <c r="D442" s="85">
        <f t="shared" si="115"/>
        <v>0</v>
      </c>
      <c r="E442" s="15"/>
      <c r="F442" s="21"/>
      <c r="G442" s="21"/>
      <c r="H442" s="21"/>
      <c r="I442" s="21"/>
      <c r="J442" s="21"/>
      <c r="K442" s="21"/>
      <c r="L442" s="21"/>
      <c r="M442" s="15"/>
      <c r="N442" s="42"/>
      <c r="O442" s="86">
        <f t="shared" si="113"/>
        <v>0</v>
      </c>
      <c r="P442" s="86">
        <f t="shared" si="113"/>
        <v>0</v>
      </c>
      <c r="Q442" s="86">
        <f t="shared" si="113"/>
        <v>0</v>
      </c>
      <c r="R442" s="86">
        <f t="shared" si="113"/>
        <v>0</v>
      </c>
      <c r="S442" s="86">
        <f t="shared" si="113"/>
        <v>0</v>
      </c>
      <c r="T442" s="86">
        <f t="shared" si="113"/>
        <v>0</v>
      </c>
      <c r="U442" s="87">
        <f t="shared" si="113"/>
        <v>0</v>
      </c>
      <c r="V442" s="15"/>
      <c r="W442" s="96">
        <f t="shared" si="116"/>
        <v>0</v>
      </c>
      <c r="X442" s="97">
        <f t="shared" si="117"/>
        <v>0</v>
      </c>
      <c r="Y442" s="98">
        <f t="shared" si="118"/>
        <v>0</v>
      </c>
      <c r="Z442" s="97">
        <f t="shared" si="119"/>
        <v>0</v>
      </c>
      <c r="AA442" s="98">
        <f t="shared" si="120"/>
        <v>0</v>
      </c>
      <c r="AB442" s="98">
        <f t="shared" si="121"/>
        <v>0</v>
      </c>
      <c r="AC442" s="91"/>
      <c r="AD442" s="92">
        <f t="shared" si="112"/>
        <v>0</v>
      </c>
    </row>
    <row r="443" spans="1:30" ht="11.25">
      <c r="A443" s="15"/>
      <c r="B443" s="93">
        <f>IF(C443&gt;$K$1,0,'Ranges and Data'!$A$10)</f>
        <v>0</v>
      </c>
      <c r="C443" s="94">
        <f t="shared" si="114"/>
        <v>44277.833333332484</v>
      </c>
      <c r="D443" s="85">
        <f t="shared" si="115"/>
        <v>0</v>
      </c>
      <c r="E443" s="15"/>
      <c r="F443" s="21"/>
      <c r="G443" s="21"/>
      <c r="H443" s="21"/>
      <c r="I443" s="21"/>
      <c r="J443" s="21"/>
      <c r="K443" s="21"/>
      <c r="L443" s="21"/>
      <c r="M443" s="15"/>
      <c r="N443" s="42"/>
      <c r="O443" s="86">
        <f t="shared" si="113"/>
        <v>0</v>
      </c>
      <c r="P443" s="86">
        <f t="shared" si="113"/>
        <v>0</v>
      </c>
      <c r="Q443" s="86">
        <f t="shared" si="113"/>
        <v>0</v>
      </c>
      <c r="R443" s="86">
        <f aca="true" t="shared" si="122" ref="O443:U479">$B443*R$7^$D443</f>
        <v>0</v>
      </c>
      <c r="S443" s="86">
        <f t="shared" si="122"/>
        <v>0</v>
      </c>
      <c r="T443" s="86">
        <f t="shared" si="122"/>
        <v>0</v>
      </c>
      <c r="U443" s="87">
        <f t="shared" si="122"/>
        <v>0</v>
      </c>
      <c r="V443" s="15"/>
      <c r="W443" s="96">
        <f t="shared" si="116"/>
        <v>0</v>
      </c>
      <c r="X443" s="97">
        <f t="shared" si="117"/>
        <v>0</v>
      </c>
      <c r="Y443" s="98">
        <f t="shared" si="118"/>
        <v>0</v>
      </c>
      <c r="Z443" s="97">
        <f t="shared" si="119"/>
        <v>0</v>
      </c>
      <c r="AA443" s="98">
        <f t="shared" si="120"/>
        <v>0</v>
      </c>
      <c r="AB443" s="98">
        <f t="shared" si="121"/>
        <v>0</v>
      </c>
      <c r="AC443" s="91"/>
      <c r="AD443" s="92">
        <f t="shared" si="112"/>
        <v>0</v>
      </c>
    </row>
    <row r="444" spans="1:30" ht="11.25">
      <c r="A444" s="15"/>
      <c r="B444" s="93">
        <f>IF(C444&gt;$K$1,0,'Ranges and Data'!$A$10)</f>
        <v>0</v>
      </c>
      <c r="C444" s="94">
        <f t="shared" si="114"/>
        <v>44308.24999999915</v>
      </c>
      <c r="D444" s="85">
        <f t="shared" si="115"/>
        <v>0</v>
      </c>
      <c r="E444" s="15"/>
      <c r="F444" s="21"/>
      <c r="G444" s="21"/>
      <c r="H444" s="21"/>
      <c r="I444" s="21"/>
      <c r="J444" s="21"/>
      <c r="K444" s="21"/>
      <c r="L444" s="21"/>
      <c r="M444" s="15"/>
      <c r="N444" s="42"/>
      <c r="O444" s="86">
        <f t="shared" si="122"/>
        <v>0</v>
      </c>
      <c r="P444" s="86">
        <f t="shared" si="122"/>
        <v>0</v>
      </c>
      <c r="Q444" s="86">
        <f t="shared" si="122"/>
        <v>0</v>
      </c>
      <c r="R444" s="86">
        <f t="shared" si="122"/>
        <v>0</v>
      </c>
      <c r="S444" s="86">
        <f t="shared" si="122"/>
        <v>0</v>
      </c>
      <c r="T444" s="86">
        <f t="shared" si="122"/>
        <v>0</v>
      </c>
      <c r="U444" s="87">
        <f t="shared" si="122"/>
        <v>0</v>
      </c>
      <c r="V444" s="15"/>
      <c r="W444" s="96">
        <f t="shared" si="116"/>
        <v>0</v>
      </c>
      <c r="X444" s="97">
        <f t="shared" si="117"/>
        <v>0</v>
      </c>
      <c r="Y444" s="98">
        <f t="shared" si="118"/>
        <v>0</v>
      </c>
      <c r="Z444" s="97">
        <f t="shared" si="119"/>
        <v>0</v>
      </c>
      <c r="AA444" s="98">
        <f t="shared" si="120"/>
        <v>0</v>
      </c>
      <c r="AB444" s="98">
        <f t="shared" si="121"/>
        <v>0</v>
      </c>
      <c r="AC444" s="91"/>
      <c r="AD444" s="92">
        <f t="shared" si="112"/>
        <v>0</v>
      </c>
    </row>
    <row r="445" spans="1:30" ht="11.25">
      <c r="A445" s="15"/>
      <c r="B445" s="93">
        <f>IF(C445&gt;$K$1,0,'Ranges and Data'!$A$10)</f>
        <v>0</v>
      </c>
      <c r="C445" s="94">
        <f t="shared" si="114"/>
        <v>44338.66666666581</v>
      </c>
      <c r="D445" s="85">
        <f t="shared" si="115"/>
        <v>0</v>
      </c>
      <c r="E445" s="15"/>
      <c r="F445" s="21"/>
      <c r="G445" s="21"/>
      <c r="H445" s="21"/>
      <c r="I445" s="21"/>
      <c r="J445" s="21"/>
      <c r="K445" s="21"/>
      <c r="L445" s="21"/>
      <c r="M445" s="15"/>
      <c r="N445" s="42"/>
      <c r="O445" s="86">
        <f t="shared" si="122"/>
        <v>0</v>
      </c>
      <c r="P445" s="86">
        <f t="shared" si="122"/>
        <v>0</v>
      </c>
      <c r="Q445" s="86">
        <f t="shared" si="122"/>
        <v>0</v>
      </c>
      <c r="R445" s="86">
        <f t="shared" si="122"/>
        <v>0</v>
      </c>
      <c r="S445" s="86">
        <f t="shared" si="122"/>
        <v>0</v>
      </c>
      <c r="T445" s="86">
        <f t="shared" si="122"/>
        <v>0</v>
      </c>
      <c r="U445" s="87">
        <f t="shared" si="122"/>
        <v>0</v>
      </c>
      <c r="V445" s="15"/>
      <c r="W445" s="96">
        <f t="shared" si="116"/>
        <v>0</v>
      </c>
      <c r="X445" s="97">
        <f t="shared" si="117"/>
        <v>0</v>
      </c>
      <c r="Y445" s="98">
        <f t="shared" si="118"/>
        <v>0</v>
      </c>
      <c r="Z445" s="97">
        <f t="shared" si="119"/>
        <v>0</v>
      </c>
      <c r="AA445" s="98">
        <f t="shared" si="120"/>
        <v>0</v>
      </c>
      <c r="AB445" s="98">
        <f t="shared" si="121"/>
        <v>0</v>
      </c>
      <c r="AC445" s="91"/>
      <c r="AD445" s="92">
        <f t="shared" si="112"/>
        <v>0</v>
      </c>
    </row>
    <row r="446" spans="1:30" ht="11.25">
      <c r="A446" s="15"/>
      <c r="B446" s="93">
        <f>IF(C446&gt;$K$1,0,'Ranges and Data'!$A$10)</f>
        <v>0</v>
      </c>
      <c r="C446" s="94">
        <f t="shared" si="114"/>
        <v>44369.08333333248</v>
      </c>
      <c r="D446" s="85">
        <f t="shared" si="115"/>
        <v>0</v>
      </c>
      <c r="E446" s="15"/>
      <c r="F446" s="21"/>
      <c r="G446" s="21"/>
      <c r="H446" s="21"/>
      <c r="I446" s="21"/>
      <c r="J446" s="21"/>
      <c r="K446" s="21"/>
      <c r="L446" s="21"/>
      <c r="M446" s="15"/>
      <c r="N446" s="42"/>
      <c r="O446" s="86">
        <f t="shared" si="122"/>
        <v>0</v>
      </c>
      <c r="P446" s="86">
        <f t="shared" si="122"/>
        <v>0</v>
      </c>
      <c r="Q446" s="86">
        <f t="shared" si="122"/>
        <v>0</v>
      </c>
      <c r="R446" s="86">
        <f t="shared" si="122"/>
        <v>0</v>
      </c>
      <c r="S446" s="86">
        <f t="shared" si="122"/>
        <v>0</v>
      </c>
      <c r="T446" s="86">
        <f t="shared" si="122"/>
        <v>0</v>
      </c>
      <c r="U446" s="87">
        <f t="shared" si="122"/>
        <v>0</v>
      </c>
      <c r="V446" s="15"/>
      <c r="W446" s="96">
        <f t="shared" si="116"/>
        <v>0</v>
      </c>
      <c r="X446" s="97">
        <f t="shared" si="117"/>
        <v>0</v>
      </c>
      <c r="Y446" s="98">
        <f t="shared" si="118"/>
        <v>0</v>
      </c>
      <c r="Z446" s="97">
        <f t="shared" si="119"/>
        <v>0</v>
      </c>
      <c r="AA446" s="98">
        <f t="shared" si="120"/>
        <v>0</v>
      </c>
      <c r="AB446" s="98">
        <f t="shared" si="121"/>
        <v>0</v>
      </c>
      <c r="AC446" s="91"/>
      <c r="AD446" s="92">
        <f t="shared" si="112"/>
        <v>0</v>
      </c>
    </row>
    <row r="447" spans="1:30" ht="11.25">
      <c r="A447" s="15"/>
      <c r="B447" s="93">
        <f>IF(C447&gt;$K$1,0,'Ranges and Data'!$A$10)</f>
        <v>0</v>
      </c>
      <c r="C447" s="94">
        <f t="shared" si="114"/>
        <v>44399.49999999914</v>
      </c>
      <c r="D447" s="85">
        <f t="shared" si="115"/>
        <v>0</v>
      </c>
      <c r="E447" s="15"/>
      <c r="F447" s="21"/>
      <c r="G447" s="21"/>
      <c r="H447" s="21"/>
      <c r="I447" s="21"/>
      <c r="J447" s="21"/>
      <c r="K447" s="21"/>
      <c r="L447" s="21"/>
      <c r="M447" s="15"/>
      <c r="N447" s="42"/>
      <c r="O447" s="86">
        <f t="shared" si="122"/>
        <v>0</v>
      </c>
      <c r="P447" s="86">
        <f t="shared" si="122"/>
        <v>0</v>
      </c>
      <c r="Q447" s="86">
        <f t="shared" si="122"/>
        <v>0</v>
      </c>
      <c r="R447" s="86">
        <f t="shared" si="122"/>
        <v>0</v>
      </c>
      <c r="S447" s="86">
        <f t="shared" si="122"/>
        <v>0</v>
      </c>
      <c r="T447" s="86">
        <f t="shared" si="122"/>
        <v>0</v>
      </c>
      <c r="U447" s="87">
        <f t="shared" si="122"/>
        <v>0</v>
      </c>
      <c r="V447" s="15"/>
      <c r="W447" s="96">
        <f t="shared" si="116"/>
        <v>0</v>
      </c>
      <c r="X447" s="97">
        <f t="shared" si="117"/>
        <v>0</v>
      </c>
      <c r="Y447" s="98">
        <f t="shared" si="118"/>
        <v>0</v>
      </c>
      <c r="Z447" s="97">
        <f t="shared" si="119"/>
        <v>0</v>
      </c>
      <c r="AA447" s="98">
        <f t="shared" si="120"/>
        <v>0</v>
      </c>
      <c r="AB447" s="98">
        <f t="shared" si="121"/>
        <v>0</v>
      </c>
      <c r="AC447" s="91"/>
      <c r="AD447" s="92">
        <f t="shared" si="112"/>
        <v>0</v>
      </c>
    </row>
    <row r="448" spans="1:30" ht="11.25">
      <c r="A448" s="15"/>
      <c r="B448" s="93">
        <f>IF(C448&gt;$K$1,0,'Ranges and Data'!$A$10)</f>
        <v>0</v>
      </c>
      <c r="C448" s="94">
        <f t="shared" si="114"/>
        <v>44429.916666665806</v>
      </c>
      <c r="D448" s="85">
        <f t="shared" si="115"/>
        <v>0</v>
      </c>
      <c r="E448" s="15"/>
      <c r="F448" s="21"/>
      <c r="G448" s="21"/>
      <c r="H448" s="21"/>
      <c r="I448" s="21"/>
      <c r="J448" s="21"/>
      <c r="K448" s="21"/>
      <c r="L448" s="21"/>
      <c r="M448" s="15"/>
      <c r="N448" s="42"/>
      <c r="O448" s="86">
        <f t="shared" si="122"/>
        <v>0</v>
      </c>
      <c r="P448" s="86">
        <f t="shared" si="122"/>
        <v>0</v>
      </c>
      <c r="Q448" s="86">
        <f t="shared" si="122"/>
        <v>0</v>
      </c>
      <c r="R448" s="86">
        <f t="shared" si="122"/>
        <v>0</v>
      </c>
      <c r="S448" s="86">
        <f t="shared" si="122"/>
        <v>0</v>
      </c>
      <c r="T448" s="86">
        <f t="shared" si="122"/>
        <v>0</v>
      </c>
      <c r="U448" s="87">
        <f t="shared" si="122"/>
        <v>0</v>
      </c>
      <c r="V448" s="15"/>
      <c r="W448" s="96">
        <f t="shared" si="116"/>
        <v>0</v>
      </c>
      <c r="X448" s="97">
        <f t="shared" si="117"/>
        <v>0</v>
      </c>
      <c r="Y448" s="98">
        <f t="shared" si="118"/>
        <v>0</v>
      </c>
      <c r="Z448" s="97">
        <f t="shared" si="119"/>
        <v>0</v>
      </c>
      <c r="AA448" s="98">
        <f t="shared" si="120"/>
        <v>0</v>
      </c>
      <c r="AB448" s="98">
        <f t="shared" si="121"/>
        <v>0</v>
      </c>
      <c r="AC448" s="91"/>
      <c r="AD448" s="92">
        <f t="shared" si="112"/>
        <v>0</v>
      </c>
    </row>
    <row r="449" spans="1:30" ht="11.25">
      <c r="A449" s="15"/>
      <c r="B449" s="93">
        <f>IF(C449&gt;$K$1,0,'Ranges and Data'!$A$10)</f>
        <v>0</v>
      </c>
      <c r="C449" s="94">
        <f t="shared" si="114"/>
        <v>44460.33333333247</v>
      </c>
      <c r="D449" s="85">
        <f t="shared" si="115"/>
        <v>0</v>
      </c>
      <c r="E449" s="15"/>
      <c r="F449" s="21"/>
      <c r="G449" s="21"/>
      <c r="H449" s="21"/>
      <c r="I449" s="21"/>
      <c r="J449" s="21"/>
      <c r="K449" s="21"/>
      <c r="L449" s="21"/>
      <c r="M449" s="15"/>
      <c r="N449" s="42"/>
      <c r="O449" s="86">
        <f t="shared" si="122"/>
        <v>0</v>
      </c>
      <c r="P449" s="86">
        <f t="shared" si="122"/>
        <v>0</v>
      </c>
      <c r="Q449" s="86">
        <f t="shared" si="122"/>
        <v>0</v>
      </c>
      <c r="R449" s="86">
        <f t="shared" si="122"/>
        <v>0</v>
      </c>
      <c r="S449" s="86">
        <f t="shared" si="122"/>
        <v>0</v>
      </c>
      <c r="T449" s="86">
        <f t="shared" si="122"/>
        <v>0</v>
      </c>
      <c r="U449" s="87">
        <f t="shared" si="122"/>
        <v>0</v>
      </c>
      <c r="V449" s="15"/>
      <c r="W449" s="96">
        <f t="shared" si="116"/>
        <v>0</v>
      </c>
      <c r="X449" s="97">
        <f t="shared" si="117"/>
        <v>0</v>
      </c>
      <c r="Y449" s="98">
        <f t="shared" si="118"/>
        <v>0</v>
      </c>
      <c r="Z449" s="97">
        <f t="shared" si="119"/>
        <v>0</v>
      </c>
      <c r="AA449" s="98">
        <f t="shared" si="120"/>
        <v>0</v>
      </c>
      <c r="AB449" s="98">
        <f t="shared" si="121"/>
        <v>0</v>
      </c>
      <c r="AC449" s="91"/>
      <c r="AD449" s="92">
        <f t="shared" si="112"/>
        <v>0</v>
      </c>
    </row>
    <row r="450" spans="1:30" ht="11.25">
      <c r="A450" s="15"/>
      <c r="B450" s="93">
        <f>IF(C450&gt;$K$1,0,'Ranges and Data'!$A$10)</f>
        <v>0</v>
      </c>
      <c r="C450" s="94">
        <f t="shared" si="114"/>
        <v>44490.749999999134</v>
      </c>
      <c r="D450" s="85">
        <f t="shared" si="115"/>
        <v>0</v>
      </c>
      <c r="E450" s="15"/>
      <c r="F450" s="21"/>
      <c r="G450" s="21"/>
      <c r="H450" s="21"/>
      <c r="I450" s="21"/>
      <c r="J450" s="21"/>
      <c r="K450" s="21"/>
      <c r="L450" s="21"/>
      <c r="M450" s="15"/>
      <c r="N450" s="42"/>
      <c r="O450" s="86">
        <f t="shared" si="122"/>
        <v>0</v>
      </c>
      <c r="P450" s="86">
        <f t="shared" si="122"/>
        <v>0</v>
      </c>
      <c r="Q450" s="86">
        <f t="shared" si="122"/>
        <v>0</v>
      </c>
      <c r="R450" s="86">
        <f t="shared" si="122"/>
        <v>0</v>
      </c>
      <c r="S450" s="86">
        <f t="shared" si="122"/>
        <v>0</v>
      </c>
      <c r="T450" s="86">
        <f t="shared" si="122"/>
        <v>0</v>
      </c>
      <c r="U450" s="87">
        <f t="shared" si="122"/>
        <v>0</v>
      </c>
      <c r="V450" s="15"/>
      <c r="W450" s="96">
        <f t="shared" si="116"/>
        <v>0</v>
      </c>
      <c r="X450" s="97">
        <f t="shared" si="117"/>
        <v>0</v>
      </c>
      <c r="Y450" s="98">
        <f t="shared" si="118"/>
        <v>0</v>
      </c>
      <c r="Z450" s="97">
        <f t="shared" si="119"/>
        <v>0</v>
      </c>
      <c r="AA450" s="98">
        <f t="shared" si="120"/>
        <v>0</v>
      </c>
      <c r="AB450" s="98">
        <f t="shared" si="121"/>
        <v>0</v>
      </c>
      <c r="AC450" s="91"/>
      <c r="AD450" s="92">
        <f t="shared" si="112"/>
        <v>0</v>
      </c>
    </row>
    <row r="451" spans="1:30" ht="11.25">
      <c r="A451" s="15"/>
      <c r="B451" s="93">
        <f>IF(C451&gt;$K$1,0,'Ranges and Data'!$A$10)</f>
        <v>0</v>
      </c>
      <c r="C451" s="94">
        <f t="shared" si="114"/>
        <v>44521.1666666658</v>
      </c>
      <c r="D451" s="85">
        <f t="shared" si="115"/>
        <v>0</v>
      </c>
      <c r="E451" s="15"/>
      <c r="F451" s="21"/>
      <c r="G451" s="21"/>
      <c r="H451" s="21"/>
      <c r="I451" s="21"/>
      <c r="J451" s="21"/>
      <c r="K451" s="21"/>
      <c r="L451" s="21"/>
      <c r="M451" s="15"/>
      <c r="N451" s="42"/>
      <c r="O451" s="86">
        <f t="shared" si="122"/>
        <v>0</v>
      </c>
      <c r="P451" s="86">
        <f t="shared" si="122"/>
        <v>0</v>
      </c>
      <c r="Q451" s="86">
        <f t="shared" si="122"/>
        <v>0</v>
      </c>
      <c r="R451" s="86">
        <f t="shared" si="122"/>
        <v>0</v>
      </c>
      <c r="S451" s="86">
        <f t="shared" si="122"/>
        <v>0</v>
      </c>
      <c r="T451" s="86">
        <f t="shared" si="122"/>
        <v>0</v>
      </c>
      <c r="U451" s="87">
        <f t="shared" si="122"/>
        <v>0</v>
      </c>
      <c r="V451" s="15"/>
      <c r="W451" s="96">
        <f t="shared" si="116"/>
        <v>0</v>
      </c>
      <c r="X451" s="97">
        <f t="shared" si="117"/>
        <v>0</v>
      </c>
      <c r="Y451" s="98">
        <f t="shared" si="118"/>
        <v>0</v>
      </c>
      <c r="Z451" s="97">
        <f t="shared" si="119"/>
        <v>0</v>
      </c>
      <c r="AA451" s="98">
        <f t="shared" si="120"/>
        <v>0</v>
      </c>
      <c r="AB451" s="98">
        <f t="shared" si="121"/>
        <v>0</v>
      </c>
      <c r="AC451" s="91"/>
      <c r="AD451" s="92">
        <f t="shared" si="112"/>
        <v>0</v>
      </c>
    </row>
    <row r="452" spans="1:30" ht="11.25">
      <c r="A452" s="15"/>
      <c r="B452" s="93">
        <f>IF(C452&gt;$K$1,0,'Ranges and Data'!$A$10)</f>
        <v>0</v>
      </c>
      <c r="C452" s="94">
        <f t="shared" si="114"/>
        <v>44551.58333333246</v>
      </c>
      <c r="D452" s="85">
        <f t="shared" si="115"/>
        <v>0</v>
      </c>
      <c r="E452" s="15"/>
      <c r="F452" s="21"/>
      <c r="G452" s="21"/>
      <c r="H452" s="21"/>
      <c r="I452" s="21"/>
      <c r="J452" s="21"/>
      <c r="K452" s="21"/>
      <c r="L452" s="21"/>
      <c r="M452" s="15"/>
      <c r="N452" s="42"/>
      <c r="O452" s="86">
        <f t="shared" si="122"/>
        <v>0</v>
      </c>
      <c r="P452" s="86">
        <f t="shared" si="122"/>
        <v>0</v>
      </c>
      <c r="Q452" s="86">
        <f t="shared" si="122"/>
        <v>0</v>
      </c>
      <c r="R452" s="86">
        <f t="shared" si="122"/>
        <v>0</v>
      </c>
      <c r="S452" s="86">
        <f t="shared" si="122"/>
        <v>0</v>
      </c>
      <c r="T452" s="86">
        <f t="shared" si="122"/>
        <v>0</v>
      </c>
      <c r="U452" s="87">
        <f t="shared" si="122"/>
        <v>0</v>
      </c>
      <c r="V452" s="15"/>
      <c r="W452" s="96">
        <f t="shared" si="116"/>
        <v>0</v>
      </c>
      <c r="X452" s="97">
        <f t="shared" si="117"/>
        <v>0</v>
      </c>
      <c r="Y452" s="98">
        <f t="shared" si="118"/>
        <v>0</v>
      </c>
      <c r="Z452" s="97">
        <f t="shared" si="119"/>
        <v>0</v>
      </c>
      <c r="AA452" s="98">
        <f t="shared" si="120"/>
        <v>0</v>
      </c>
      <c r="AB452" s="98">
        <f t="shared" si="121"/>
        <v>0</v>
      </c>
      <c r="AC452" s="91"/>
      <c r="AD452" s="92">
        <f t="shared" si="112"/>
        <v>0</v>
      </c>
    </row>
    <row r="453" spans="1:30" ht="11.25">
      <c r="A453" s="15"/>
      <c r="B453" s="93">
        <f>IF(C453&gt;$K$1,0,'Ranges and Data'!$A$10)</f>
        <v>0</v>
      </c>
      <c r="C453" s="94">
        <f t="shared" si="114"/>
        <v>44581.99999999913</v>
      </c>
      <c r="D453" s="85">
        <f t="shared" si="115"/>
        <v>0</v>
      </c>
      <c r="E453" s="15"/>
      <c r="F453" s="21"/>
      <c r="G453" s="21"/>
      <c r="H453" s="21"/>
      <c r="I453" s="21"/>
      <c r="J453" s="21"/>
      <c r="K453" s="21"/>
      <c r="L453" s="21"/>
      <c r="M453" s="15"/>
      <c r="N453" s="42"/>
      <c r="O453" s="86">
        <f t="shared" si="122"/>
        <v>0</v>
      </c>
      <c r="P453" s="86">
        <f t="shared" si="122"/>
        <v>0</v>
      </c>
      <c r="Q453" s="86">
        <f t="shared" si="122"/>
        <v>0</v>
      </c>
      <c r="R453" s="86">
        <f t="shared" si="122"/>
        <v>0</v>
      </c>
      <c r="S453" s="86">
        <f t="shared" si="122"/>
        <v>0</v>
      </c>
      <c r="T453" s="86">
        <f t="shared" si="122"/>
        <v>0</v>
      </c>
      <c r="U453" s="87">
        <f t="shared" si="122"/>
        <v>0</v>
      </c>
      <c r="V453" s="15"/>
      <c r="W453" s="96">
        <f t="shared" si="116"/>
        <v>0</v>
      </c>
      <c r="X453" s="97">
        <f t="shared" si="117"/>
        <v>0</v>
      </c>
      <c r="Y453" s="98">
        <f t="shared" si="118"/>
        <v>0</v>
      </c>
      <c r="Z453" s="97">
        <f t="shared" si="119"/>
        <v>0</v>
      </c>
      <c r="AA453" s="98">
        <f t="shared" si="120"/>
        <v>0</v>
      </c>
      <c r="AB453" s="98">
        <f t="shared" si="121"/>
        <v>0</v>
      </c>
      <c r="AC453" s="91"/>
      <c r="AD453" s="92">
        <f t="shared" si="112"/>
        <v>0</v>
      </c>
    </row>
    <row r="454" spans="1:30" ht="11.25">
      <c r="A454" s="15"/>
      <c r="B454" s="93">
        <f>IF(C454&gt;$K$1,0,'Ranges and Data'!$A$10)</f>
        <v>0</v>
      </c>
      <c r="C454" s="94">
        <f t="shared" si="114"/>
        <v>44612.41666666579</v>
      </c>
      <c r="D454" s="85">
        <f t="shared" si="115"/>
        <v>0</v>
      </c>
      <c r="E454" s="15"/>
      <c r="F454" s="21"/>
      <c r="G454" s="21"/>
      <c r="H454" s="21"/>
      <c r="I454" s="21"/>
      <c r="J454" s="21"/>
      <c r="K454" s="21"/>
      <c r="L454" s="21"/>
      <c r="M454" s="15"/>
      <c r="N454" s="42"/>
      <c r="O454" s="86">
        <f t="shared" si="122"/>
        <v>0</v>
      </c>
      <c r="P454" s="86">
        <f t="shared" si="122"/>
        <v>0</v>
      </c>
      <c r="Q454" s="86">
        <f t="shared" si="122"/>
        <v>0</v>
      </c>
      <c r="R454" s="86">
        <f t="shared" si="122"/>
        <v>0</v>
      </c>
      <c r="S454" s="86">
        <f t="shared" si="122"/>
        <v>0</v>
      </c>
      <c r="T454" s="86">
        <f t="shared" si="122"/>
        <v>0</v>
      </c>
      <c r="U454" s="87">
        <f t="shared" si="122"/>
        <v>0</v>
      </c>
      <c r="V454" s="15"/>
      <c r="W454" s="96">
        <f t="shared" si="116"/>
        <v>0</v>
      </c>
      <c r="X454" s="97">
        <f t="shared" si="117"/>
        <v>0</v>
      </c>
      <c r="Y454" s="98">
        <f t="shared" si="118"/>
        <v>0</v>
      </c>
      <c r="Z454" s="97">
        <f t="shared" si="119"/>
        <v>0</v>
      </c>
      <c r="AA454" s="98">
        <f t="shared" si="120"/>
        <v>0</v>
      </c>
      <c r="AB454" s="98">
        <f t="shared" si="121"/>
        <v>0</v>
      </c>
      <c r="AC454" s="91"/>
      <c r="AD454" s="92">
        <f t="shared" si="112"/>
        <v>0</v>
      </c>
    </row>
    <row r="455" spans="1:30" ht="11.25">
      <c r="A455" s="15"/>
      <c r="B455" s="93">
        <f>IF(C455&gt;$K$1,0,'Ranges and Data'!$A$10)</f>
        <v>0</v>
      </c>
      <c r="C455" s="94">
        <f t="shared" si="114"/>
        <v>44642.833333332455</v>
      </c>
      <c r="D455" s="85">
        <f t="shared" si="115"/>
        <v>0</v>
      </c>
      <c r="E455" s="15"/>
      <c r="F455" s="21"/>
      <c r="G455" s="21"/>
      <c r="H455" s="21"/>
      <c r="I455" s="21"/>
      <c r="J455" s="21"/>
      <c r="K455" s="21"/>
      <c r="L455" s="21"/>
      <c r="M455" s="15"/>
      <c r="N455" s="42"/>
      <c r="O455" s="86">
        <f t="shared" si="122"/>
        <v>0</v>
      </c>
      <c r="P455" s="86">
        <f t="shared" si="122"/>
        <v>0</v>
      </c>
      <c r="Q455" s="86">
        <f t="shared" si="122"/>
        <v>0</v>
      </c>
      <c r="R455" s="86">
        <f t="shared" si="122"/>
        <v>0</v>
      </c>
      <c r="S455" s="86">
        <f t="shared" si="122"/>
        <v>0</v>
      </c>
      <c r="T455" s="86">
        <f t="shared" si="122"/>
        <v>0</v>
      </c>
      <c r="U455" s="87">
        <f t="shared" si="122"/>
        <v>0</v>
      </c>
      <c r="V455" s="15"/>
      <c r="W455" s="96">
        <f t="shared" si="116"/>
        <v>0</v>
      </c>
      <c r="X455" s="97">
        <f t="shared" si="117"/>
        <v>0</v>
      </c>
      <c r="Y455" s="98">
        <f t="shared" si="118"/>
        <v>0</v>
      </c>
      <c r="Z455" s="97">
        <f t="shared" si="119"/>
        <v>0</v>
      </c>
      <c r="AA455" s="98">
        <f t="shared" si="120"/>
        <v>0</v>
      </c>
      <c r="AB455" s="98">
        <f t="shared" si="121"/>
        <v>0</v>
      </c>
      <c r="AC455" s="91"/>
      <c r="AD455" s="92">
        <f t="shared" si="112"/>
        <v>0</v>
      </c>
    </row>
    <row r="456" spans="1:30" ht="11.25">
      <c r="A456" s="15"/>
      <c r="B456" s="93">
        <f>IF(C456&gt;$K$1,0,'Ranges and Data'!$A$10)</f>
        <v>0</v>
      </c>
      <c r="C456" s="94">
        <f t="shared" si="114"/>
        <v>44673.24999999912</v>
      </c>
      <c r="D456" s="85">
        <f t="shared" si="115"/>
        <v>0</v>
      </c>
      <c r="E456" s="15"/>
      <c r="F456" s="21"/>
      <c r="G456" s="21"/>
      <c r="H456" s="21"/>
      <c r="I456" s="21"/>
      <c r="J456" s="21"/>
      <c r="K456" s="21"/>
      <c r="L456" s="21"/>
      <c r="M456" s="15"/>
      <c r="N456" s="42"/>
      <c r="O456" s="86">
        <f t="shared" si="122"/>
        <v>0</v>
      </c>
      <c r="P456" s="86">
        <f t="shared" si="122"/>
        <v>0</v>
      </c>
      <c r="Q456" s="86">
        <f t="shared" si="122"/>
        <v>0</v>
      </c>
      <c r="R456" s="86">
        <f t="shared" si="122"/>
        <v>0</v>
      </c>
      <c r="S456" s="86">
        <f t="shared" si="122"/>
        <v>0</v>
      </c>
      <c r="T456" s="86">
        <f t="shared" si="122"/>
        <v>0</v>
      </c>
      <c r="U456" s="87">
        <f t="shared" si="122"/>
        <v>0</v>
      </c>
      <c r="V456" s="15"/>
      <c r="W456" s="96">
        <f t="shared" si="116"/>
        <v>0</v>
      </c>
      <c r="X456" s="97">
        <f t="shared" si="117"/>
        <v>0</v>
      </c>
      <c r="Y456" s="98">
        <f t="shared" si="118"/>
        <v>0</v>
      </c>
      <c r="Z456" s="97">
        <f t="shared" si="119"/>
        <v>0</v>
      </c>
      <c r="AA456" s="98">
        <f t="shared" si="120"/>
        <v>0</v>
      </c>
      <c r="AB456" s="98">
        <f t="shared" si="121"/>
        <v>0</v>
      </c>
      <c r="AC456" s="91"/>
      <c r="AD456" s="92">
        <f t="shared" si="112"/>
        <v>0</v>
      </c>
    </row>
    <row r="457" spans="1:30" ht="11.25">
      <c r="A457" s="15"/>
      <c r="B457" s="93">
        <f>IF(C457&gt;$K$1,0,'Ranges and Data'!$A$10)</f>
        <v>0</v>
      </c>
      <c r="C457" s="94">
        <f t="shared" si="114"/>
        <v>44703.666666665784</v>
      </c>
      <c r="D457" s="85">
        <f t="shared" si="115"/>
        <v>0</v>
      </c>
      <c r="E457" s="15"/>
      <c r="F457" s="21"/>
      <c r="G457" s="21"/>
      <c r="H457" s="21"/>
      <c r="I457" s="21"/>
      <c r="J457" s="21"/>
      <c r="K457" s="21"/>
      <c r="L457" s="21"/>
      <c r="M457" s="15"/>
      <c r="N457" s="42"/>
      <c r="O457" s="86">
        <f t="shared" si="122"/>
        <v>0</v>
      </c>
      <c r="P457" s="86">
        <f t="shared" si="122"/>
        <v>0</v>
      </c>
      <c r="Q457" s="86">
        <f t="shared" si="122"/>
        <v>0</v>
      </c>
      <c r="R457" s="86">
        <f t="shared" si="122"/>
        <v>0</v>
      </c>
      <c r="S457" s="86">
        <f t="shared" si="122"/>
        <v>0</v>
      </c>
      <c r="T457" s="86">
        <f t="shared" si="122"/>
        <v>0</v>
      </c>
      <c r="U457" s="87">
        <f t="shared" si="122"/>
        <v>0</v>
      </c>
      <c r="V457" s="15"/>
      <c r="W457" s="96">
        <f t="shared" si="116"/>
        <v>0</v>
      </c>
      <c r="X457" s="97">
        <f t="shared" si="117"/>
        <v>0</v>
      </c>
      <c r="Y457" s="98">
        <f t="shared" si="118"/>
        <v>0</v>
      </c>
      <c r="Z457" s="97">
        <f t="shared" si="119"/>
        <v>0</v>
      </c>
      <c r="AA457" s="98">
        <f t="shared" si="120"/>
        <v>0</v>
      </c>
      <c r="AB457" s="98">
        <f t="shared" si="121"/>
        <v>0</v>
      </c>
      <c r="AC457" s="91"/>
      <c r="AD457" s="92">
        <f aca="true" t="shared" si="123" ref="AD457:AD490">$B457*(1+$D$7)^$D457</f>
        <v>0</v>
      </c>
    </row>
    <row r="458" spans="1:30" ht="11.25">
      <c r="A458" s="15"/>
      <c r="B458" s="93">
        <f>IF(C458&gt;$K$1,0,'Ranges and Data'!$A$10)</f>
        <v>0</v>
      </c>
      <c r="C458" s="94">
        <f t="shared" si="114"/>
        <v>44734.08333333245</v>
      </c>
      <c r="D458" s="85">
        <f t="shared" si="115"/>
        <v>0</v>
      </c>
      <c r="E458" s="15"/>
      <c r="F458" s="21"/>
      <c r="G458" s="21"/>
      <c r="H458" s="21"/>
      <c r="I458" s="21"/>
      <c r="J458" s="21"/>
      <c r="K458" s="21"/>
      <c r="L458" s="21"/>
      <c r="M458" s="15"/>
      <c r="N458" s="42"/>
      <c r="O458" s="86">
        <f t="shared" si="122"/>
        <v>0</v>
      </c>
      <c r="P458" s="86">
        <f t="shared" si="122"/>
        <v>0</v>
      </c>
      <c r="Q458" s="86">
        <f t="shared" si="122"/>
        <v>0</v>
      </c>
      <c r="R458" s="86">
        <f t="shared" si="122"/>
        <v>0</v>
      </c>
      <c r="S458" s="86">
        <f t="shared" si="122"/>
        <v>0</v>
      </c>
      <c r="T458" s="86">
        <f t="shared" si="122"/>
        <v>0</v>
      </c>
      <c r="U458" s="87">
        <f t="shared" si="122"/>
        <v>0</v>
      </c>
      <c r="V458" s="15"/>
      <c r="W458" s="96">
        <f t="shared" si="116"/>
        <v>0</v>
      </c>
      <c r="X458" s="97">
        <f t="shared" si="117"/>
        <v>0</v>
      </c>
      <c r="Y458" s="98">
        <f t="shared" si="118"/>
        <v>0</v>
      </c>
      <c r="Z458" s="97">
        <f t="shared" si="119"/>
        <v>0</v>
      </c>
      <c r="AA458" s="98">
        <f t="shared" si="120"/>
        <v>0</v>
      </c>
      <c r="AB458" s="98">
        <f t="shared" si="121"/>
        <v>0</v>
      </c>
      <c r="AC458" s="91"/>
      <c r="AD458" s="92">
        <f t="shared" si="123"/>
        <v>0</v>
      </c>
    </row>
    <row r="459" spans="1:30" ht="11.25">
      <c r="A459" s="15"/>
      <c r="B459" s="93">
        <f>IF(C459&gt;$K$1,0,'Ranges and Data'!$A$10)</f>
        <v>0</v>
      </c>
      <c r="C459" s="94">
        <f t="shared" si="114"/>
        <v>44764.49999999911</v>
      </c>
      <c r="D459" s="85">
        <f t="shared" si="115"/>
        <v>0</v>
      </c>
      <c r="E459" s="15"/>
      <c r="F459" s="21"/>
      <c r="G459" s="21"/>
      <c r="H459" s="21"/>
      <c r="I459" s="21"/>
      <c r="J459" s="21"/>
      <c r="K459" s="21"/>
      <c r="L459" s="21"/>
      <c r="M459" s="15"/>
      <c r="N459" s="42"/>
      <c r="O459" s="86">
        <f t="shared" si="122"/>
        <v>0</v>
      </c>
      <c r="P459" s="86">
        <f t="shared" si="122"/>
        <v>0</v>
      </c>
      <c r="Q459" s="86">
        <f t="shared" si="122"/>
        <v>0</v>
      </c>
      <c r="R459" s="86">
        <f t="shared" si="122"/>
        <v>0</v>
      </c>
      <c r="S459" s="86">
        <f t="shared" si="122"/>
        <v>0</v>
      </c>
      <c r="T459" s="86">
        <f t="shared" si="122"/>
        <v>0</v>
      </c>
      <c r="U459" s="87">
        <f t="shared" si="122"/>
        <v>0</v>
      </c>
      <c r="V459" s="15"/>
      <c r="W459" s="96">
        <f t="shared" si="116"/>
        <v>0</v>
      </c>
      <c r="X459" s="97">
        <f t="shared" si="117"/>
        <v>0</v>
      </c>
      <c r="Y459" s="98">
        <f t="shared" si="118"/>
        <v>0</v>
      </c>
      <c r="Z459" s="97">
        <f t="shared" si="119"/>
        <v>0</v>
      </c>
      <c r="AA459" s="98">
        <f t="shared" si="120"/>
        <v>0</v>
      </c>
      <c r="AB459" s="98">
        <f t="shared" si="121"/>
        <v>0</v>
      </c>
      <c r="AC459" s="91"/>
      <c r="AD459" s="92">
        <f t="shared" si="123"/>
        <v>0</v>
      </c>
    </row>
    <row r="460" spans="1:30" ht="11.25">
      <c r="A460" s="15"/>
      <c r="B460" s="93">
        <f>IF(C460&gt;$K$1,0,'Ranges and Data'!$A$10)</f>
        <v>0</v>
      </c>
      <c r="C460" s="94">
        <f t="shared" si="114"/>
        <v>44794.91666666578</v>
      </c>
      <c r="D460" s="85">
        <f t="shared" si="115"/>
        <v>0</v>
      </c>
      <c r="E460" s="15"/>
      <c r="F460" s="21"/>
      <c r="G460" s="21"/>
      <c r="H460" s="21"/>
      <c r="I460" s="21"/>
      <c r="J460" s="21"/>
      <c r="K460" s="21"/>
      <c r="L460" s="21"/>
      <c r="M460" s="15"/>
      <c r="N460" s="42"/>
      <c r="O460" s="86">
        <f t="shared" si="122"/>
        <v>0</v>
      </c>
      <c r="P460" s="86">
        <f t="shared" si="122"/>
        <v>0</v>
      </c>
      <c r="Q460" s="86">
        <f t="shared" si="122"/>
        <v>0</v>
      </c>
      <c r="R460" s="86">
        <f t="shared" si="122"/>
        <v>0</v>
      </c>
      <c r="S460" s="86">
        <f t="shared" si="122"/>
        <v>0</v>
      </c>
      <c r="T460" s="86">
        <f t="shared" si="122"/>
        <v>0</v>
      </c>
      <c r="U460" s="87">
        <f t="shared" si="122"/>
        <v>0</v>
      </c>
      <c r="V460" s="15"/>
      <c r="W460" s="96">
        <f t="shared" si="116"/>
        <v>0</v>
      </c>
      <c r="X460" s="97">
        <f t="shared" si="117"/>
        <v>0</v>
      </c>
      <c r="Y460" s="98">
        <f t="shared" si="118"/>
        <v>0</v>
      </c>
      <c r="Z460" s="97">
        <f t="shared" si="119"/>
        <v>0</v>
      </c>
      <c r="AA460" s="98">
        <f t="shared" si="120"/>
        <v>0</v>
      </c>
      <c r="AB460" s="98">
        <f t="shared" si="121"/>
        <v>0</v>
      </c>
      <c r="AC460" s="91"/>
      <c r="AD460" s="92">
        <f t="shared" si="123"/>
        <v>0</v>
      </c>
    </row>
    <row r="461" spans="1:30" ht="11.25">
      <c r="A461" s="15"/>
      <c r="B461" s="93">
        <f>IF(C461&gt;$K$1,0,'Ranges and Data'!$A$10)</f>
        <v>0</v>
      </c>
      <c r="C461" s="94">
        <f t="shared" si="114"/>
        <v>44825.33333333244</v>
      </c>
      <c r="D461" s="85">
        <f t="shared" si="115"/>
        <v>0</v>
      </c>
      <c r="E461" s="15"/>
      <c r="F461" s="21"/>
      <c r="G461" s="21"/>
      <c r="H461" s="21"/>
      <c r="I461" s="21"/>
      <c r="J461" s="21"/>
      <c r="K461" s="21"/>
      <c r="L461" s="21"/>
      <c r="M461" s="15"/>
      <c r="N461" s="42"/>
      <c r="O461" s="86">
        <f t="shared" si="122"/>
        <v>0</v>
      </c>
      <c r="P461" s="86">
        <f t="shared" si="122"/>
        <v>0</v>
      </c>
      <c r="Q461" s="86">
        <f t="shared" si="122"/>
        <v>0</v>
      </c>
      <c r="R461" s="86">
        <f t="shared" si="122"/>
        <v>0</v>
      </c>
      <c r="S461" s="86">
        <f t="shared" si="122"/>
        <v>0</v>
      </c>
      <c r="T461" s="86">
        <f t="shared" si="122"/>
        <v>0</v>
      </c>
      <c r="U461" s="87">
        <f t="shared" si="122"/>
        <v>0</v>
      </c>
      <c r="V461" s="15"/>
      <c r="W461" s="96">
        <f t="shared" si="116"/>
        <v>0</v>
      </c>
      <c r="X461" s="97">
        <f t="shared" si="117"/>
        <v>0</v>
      </c>
      <c r="Y461" s="98">
        <f t="shared" si="118"/>
        <v>0</v>
      </c>
      <c r="Z461" s="97">
        <f t="shared" si="119"/>
        <v>0</v>
      </c>
      <c r="AA461" s="98">
        <f t="shared" si="120"/>
        <v>0</v>
      </c>
      <c r="AB461" s="98">
        <f t="shared" si="121"/>
        <v>0</v>
      </c>
      <c r="AC461" s="91"/>
      <c r="AD461" s="92">
        <f t="shared" si="123"/>
        <v>0</v>
      </c>
    </row>
    <row r="462" spans="1:30" ht="11.25">
      <c r="A462" s="15"/>
      <c r="B462" s="93">
        <f>IF(C462&gt;$K$1,0,'Ranges and Data'!$A$10)</f>
        <v>0</v>
      </c>
      <c r="C462" s="94">
        <f t="shared" si="114"/>
        <v>44855.749999999105</v>
      </c>
      <c r="D462" s="85">
        <f t="shared" si="115"/>
        <v>0</v>
      </c>
      <c r="E462" s="15"/>
      <c r="F462" s="21"/>
      <c r="G462" s="21"/>
      <c r="H462" s="21"/>
      <c r="I462" s="21"/>
      <c r="J462" s="21"/>
      <c r="K462" s="21"/>
      <c r="L462" s="21"/>
      <c r="M462" s="15"/>
      <c r="N462" s="42"/>
      <c r="O462" s="86">
        <f t="shared" si="122"/>
        <v>0</v>
      </c>
      <c r="P462" s="86">
        <f t="shared" si="122"/>
        <v>0</v>
      </c>
      <c r="Q462" s="86">
        <f t="shared" si="122"/>
        <v>0</v>
      </c>
      <c r="R462" s="86">
        <f t="shared" si="122"/>
        <v>0</v>
      </c>
      <c r="S462" s="86">
        <f t="shared" si="122"/>
        <v>0</v>
      </c>
      <c r="T462" s="86">
        <f t="shared" si="122"/>
        <v>0</v>
      </c>
      <c r="U462" s="87">
        <f t="shared" si="122"/>
        <v>0</v>
      </c>
      <c r="V462" s="15"/>
      <c r="W462" s="96">
        <f t="shared" si="116"/>
        <v>0</v>
      </c>
      <c r="X462" s="97">
        <f t="shared" si="117"/>
        <v>0</v>
      </c>
      <c r="Y462" s="98">
        <f t="shared" si="118"/>
        <v>0</v>
      </c>
      <c r="Z462" s="97">
        <f t="shared" si="119"/>
        <v>0</v>
      </c>
      <c r="AA462" s="98">
        <f t="shared" si="120"/>
        <v>0</v>
      </c>
      <c r="AB462" s="98">
        <f t="shared" si="121"/>
        <v>0</v>
      </c>
      <c r="AC462" s="91"/>
      <c r="AD462" s="92">
        <f t="shared" si="123"/>
        <v>0</v>
      </c>
    </row>
    <row r="463" spans="1:30" ht="11.25">
      <c r="A463" s="15"/>
      <c r="B463" s="93">
        <f>IF(C463&gt;$K$1,0,'Ranges and Data'!$A$10)</f>
        <v>0</v>
      </c>
      <c r="C463" s="94">
        <f t="shared" si="114"/>
        <v>44886.16666666577</v>
      </c>
      <c r="D463" s="85">
        <f t="shared" si="115"/>
        <v>0</v>
      </c>
      <c r="E463" s="15"/>
      <c r="F463" s="21"/>
      <c r="G463" s="21"/>
      <c r="H463" s="21"/>
      <c r="I463" s="21"/>
      <c r="J463" s="21"/>
      <c r="K463" s="21"/>
      <c r="L463" s="21"/>
      <c r="M463" s="15"/>
      <c r="N463" s="42"/>
      <c r="O463" s="86">
        <f t="shared" si="122"/>
        <v>0</v>
      </c>
      <c r="P463" s="86">
        <f t="shared" si="122"/>
        <v>0</v>
      </c>
      <c r="Q463" s="86">
        <f t="shared" si="122"/>
        <v>0</v>
      </c>
      <c r="R463" s="86">
        <f t="shared" si="122"/>
        <v>0</v>
      </c>
      <c r="S463" s="86">
        <f t="shared" si="122"/>
        <v>0</v>
      </c>
      <c r="T463" s="86">
        <f t="shared" si="122"/>
        <v>0</v>
      </c>
      <c r="U463" s="87">
        <f t="shared" si="122"/>
        <v>0</v>
      </c>
      <c r="V463" s="15"/>
      <c r="W463" s="96">
        <f t="shared" si="116"/>
        <v>0</v>
      </c>
      <c r="X463" s="97">
        <f t="shared" si="117"/>
        <v>0</v>
      </c>
      <c r="Y463" s="98">
        <f t="shared" si="118"/>
        <v>0</v>
      </c>
      <c r="Z463" s="97">
        <f t="shared" si="119"/>
        <v>0</v>
      </c>
      <c r="AA463" s="98">
        <f t="shared" si="120"/>
        <v>0</v>
      </c>
      <c r="AB463" s="98">
        <f t="shared" si="121"/>
        <v>0</v>
      </c>
      <c r="AC463" s="91"/>
      <c r="AD463" s="92">
        <f t="shared" si="123"/>
        <v>0</v>
      </c>
    </row>
    <row r="464" spans="1:30" ht="11.25">
      <c r="A464" s="15"/>
      <c r="B464" s="93">
        <f>IF(C464&gt;$K$1,0,'Ranges and Data'!$A$10)</f>
        <v>0</v>
      </c>
      <c r="C464" s="94">
        <f t="shared" si="114"/>
        <v>44916.58333333243</v>
      </c>
      <c r="D464" s="85">
        <f t="shared" si="115"/>
        <v>0</v>
      </c>
      <c r="E464" s="15"/>
      <c r="F464" s="21"/>
      <c r="G464" s="21"/>
      <c r="H464" s="21"/>
      <c r="I464" s="21"/>
      <c r="J464" s="21"/>
      <c r="K464" s="21"/>
      <c r="L464" s="21"/>
      <c r="M464" s="15"/>
      <c r="N464" s="42"/>
      <c r="O464" s="86">
        <f t="shared" si="122"/>
        <v>0</v>
      </c>
      <c r="P464" s="86">
        <f t="shared" si="122"/>
        <v>0</v>
      </c>
      <c r="Q464" s="86">
        <f t="shared" si="122"/>
        <v>0</v>
      </c>
      <c r="R464" s="86">
        <f t="shared" si="122"/>
        <v>0</v>
      </c>
      <c r="S464" s="86">
        <f t="shared" si="122"/>
        <v>0</v>
      </c>
      <c r="T464" s="86">
        <f t="shared" si="122"/>
        <v>0</v>
      </c>
      <c r="U464" s="87">
        <f t="shared" si="122"/>
        <v>0</v>
      </c>
      <c r="V464" s="15"/>
      <c r="W464" s="96">
        <f t="shared" si="116"/>
        <v>0</v>
      </c>
      <c r="X464" s="97">
        <f t="shared" si="117"/>
        <v>0</v>
      </c>
      <c r="Y464" s="98">
        <f t="shared" si="118"/>
        <v>0</v>
      </c>
      <c r="Z464" s="97">
        <f t="shared" si="119"/>
        <v>0</v>
      </c>
      <c r="AA464" s="98">
        <f t="shared" si="120"/>
        <v>0</v>
      </c>
      <c r="AB464" s="98">
        <f t="shared" si="121"/>
        <v>0</v>
      </c>
      <c r="AC464" s="91"/>
      <c r="AD464" s="92">
        <f t="shared" si="123"/>
        <v>0</v>
      </c>
    </row>
    <row r="465" spans="1:30" ht="11.25">
      <c r="A465" s="15"/>
      <c r="B465" s="93">
        <f>IF(C465&gt;$K$1,0,'Ranges and Data'!$A$10)</f>
        <v>0</v>
      </c>
      <c r="C465" s="94">
        <f t="shared" si="114"/>
        <v>44946.9999999991</v>
      </c>
      <c r="D465" s="85">
        <f t="shared" si="115"/>
        <v>0</v>
      </c>
      <c r="E465" s="15"/>
      <c r="F465" s="21"/>
      <c r="G465" s="21"/>
      <c r="H465" s="21"/>
      <c r="I465" s="21"/>
      <c r="J465" s="21"/>
      <c r="K465" s="21"/>
      <c r="L465" s="21"/>
      <c r="M465" s="15"/>
      <c r="N465" s="42"/>
      <c r="O465" s="86">
        <f t="shared" si="122"/>
        <v>0</v>
      </c>
      <c r="P465" s="86">
        <f t="shared" si="122"/>
        <v>0</v>
      </c>
      <c r="Q465" s="86">
        <f t="shared" si="122"/>
        <v>0</v>
      </c>
      <c r="R465" s="86">
        <f t="shared" si="122"/>
        <v>0</v>
      </c>
      <c r="S465" s="86">
        <f t="shared" si="122"/>
        <v>0</v>
      </c>
      <c r="T465" s="86">
        <f t="shared" si="122"/>
        <v>0</v>
      </c>
      <c r="U465" s="87">
        <f t="shared" si="122"/>
        <v>0</v>
      </c>
      <c r="V465" s="15"/>
      <c r="W465" s="96">
        <f t="shared" si="116"/>
        <v>0</v>
      </c>
      <c r="X465" s="97">
        <f t="shared" si="117"/>
        <v>0</v>
      </c>
      <c r="Y465" s="98">
        <f t="shared" si="118"/>
        <v>0</v>
      </c>
      <c r="Z465" s="97">
        <f t="shared" si="119"/>
        <v>0</v>
      </c>
      <c r="AA465" s="98">
        <f t="shared" si="120"/>
        <v>0</v>
      </c>
      <c r="AB465" s="98">
        <f t="shared" si="121"/>
        <v>0</v>
      </c>
      <c r="AC465" s="91"/>
      <c r="AD465" s="92">
        <f t="shared" si="123"/>
        <v>0</v>
      </c>
    </row>
    <row r="466" spans="1:30" ht="11.25">
      <c r="A466" s="15"/>
      <c r="B466" s="93">
        <f>IF(C466&gt;$K$1,0,'Ranges and Data'!$A$10)</f>
        <v>0</v>
      </c>
      <c r="C466" s="94">
        <f t="shared" si="114"/>
        <v>44977.41666666576</v>
      </c>
      <c r="D466" s="85">
        <f t="shared" si="115"/>
        <v>0</v>
      </c>
      <c r="E466" s="15"/>
      <c r="F466" s="21"/>
      <c r="G466" s="21"/>
      <c r="H466" s="21"/>
      <c r="I466" s="21"/>
      <c r="J466" s="21"/>
      <c r="K466" s="21"/>
      <c r="L466" s="21"/>
      <c r="M466" s="15"/>
      <c r="N466" s="42"/>
      <c r="O466" s="86">
        <f t="shared" si="122"/>
        <v>0</v>
      </c>
      <c r="P466" s="86">
        <f t="shared" si="122"/>
        <v>0</v>
      </c>
      <c r="Q466" s="86">
        <f t="shared" si="122"/>
        <v>0</v>
      </c>
      <c r="R466" s="86">
        <f t="shared" si="122"/>
        <v>0</v>
      </c>
      <c r="S466" s="86">
        <f t="shared" si="122"/>
        <v>0</v>
      </c>
      <c r="T466" s="86">
        <f t="shared" si="122"/>
        <v>0</v>
      </c>
      <c r="U466" s="87">
        <f t="shared" si="122"/>
        <v>0</v>
      </c>
      <c r="V466" s="15"/>
      <c r="W466" s="96">
        <f t="shared" si="116"/>
        <v>0</v>
      </c>
      <c r="X466" s="97">
        <f t="shared" si="117"/>
        <v>0</v>
      </c>
      <c r="Y466" s="98">
        <f t="shared" si="118"/>
        <v>0</v>
      </c>
      <c r="Z466" s="97">
        <f t="shared" si="119"/>
        <v>0</v>
      </c>
      <c r="AA466" s="98">
        <f t="shared" si="120"/>
        <v>0</v>
      </c>
      <c r="AB466" s="98">
        <f t="shared" si="121"/>
        <v>0</v>
      </c>
      <c r="AC466" s="91"/>
      <c r="AD466" s="92">
        <f t="shared" si="123"/>
        <v>0</v>
      </c>
    </row>
    <row r="467" spans="1:30" ht="11.25">
      <c r="A467" s="15"/>
      <c r="B467" s="93">
        <f>IF(C467&gt;$K$1,0,'Ranges and Data'!$A$10)</f>
        <v>0</v>
      </c>
      <c r="C467" s="94">
        <f t="shared" si="114"/>
        <v>45007.833333332426</v>
      </c>
      <c r="D467" s="85">
        <f t="shared" si="115"/>
        <v>0</v>
      </c>
      <c r="E467" s="15"/>
      <c r="F467" s="21"/>
      <c r="G467" s="21"/>
      <c r="H467" s="21"/>
      <c r="I467" s="21"/>
      <c r="J467" s="21"/>
      <c r="K467" s="21"/>
      <c r="L467" s="21"/>
      <c r="M467" s="15"/>
      <c r="N467" s="42"/>
      <c r="O467" s="86">
        <f t="shared" si="122"/>
        <v>0</v>
      </c>
      <c r="P467" s="86">
        <f t="shared" si="122"/>
        <v>0</v>
      </c>
      <c r="Q467" s="86">
        <f t="shared" si="122"/>
        <v>0</v>
      </c>
      <c r="R467" s="86">
        <f t="shared" si="122"/>
        <v>0</v>
      </c>
      <c r="S467" s="86">
        <f t="shared" si="122"/>
        <v>0</v>
      </c>
      <c r="T467" s="86">
        <f t="shared" si="122"/>
        <v>0</v>
      </c>
      <c r="U467" s="87">
        <f t="shared" si="122"/>
        <v>0</v>
      </c>
      <c r="V467" s="15"/>
      <c r="W467" s="96">
        <f t="shared" si="116"/>
        <v>0</v>
      </c>
      <c r="X467" s="97">
        <f t="shared" si="117"/>
        <v>0</v>
      </c>
      <c r="Y467" s="98">
        <f t="shared" si="118"/>
        <v>0</v>
      </c>
      <c r="Z467" s="97">
        <f t="shared" si="119"/>
        <v>0</v>
      </c>
      <c r="AA467" s="98">
        <f t="shared" si="120"/>
        <v>0</v>
      </c>
      <c r="AB467" s="98">
        <f t="shared" si="121"/>
        <v>0</v>
      </c>
      <c r="AC467" s="91"/>
      <c r="AD467" s="92">
        <f t="shared" si="123"/>
        <v>0</v>
      </c>
    </row>
    <row r="468" spans="1:30" ht="11.25">
      <c r="A468" s="15"/>
      <c r="B468" s="93">
        <f>IF(C468&gt;$K$1,0,'Ranges and Data'!$A$10)</f>
        <v>0</v>
      </c>
      <c r="C468" s="94">
        <f t="shared" si="114"/>
        <v>45038.24999999909</v>
      </c>
      <c r="D468" s="85">
        <f t="shared" si="115"/>
        <v>0</v>
      </c>
      <c r="E468" s="15"/>
      <c r="F468" s="21"/>
      <c r="G468" s="21"/>
      <c r="H468" s="21"/>
      <c r="I468" s="21"/>
      <c r="J468" s="21"/>
      <c r="K468" s="21"/>
      <c r="L468" s="21"/>
      <c r="M468" s="15"/>
      <c r="N468" s="42"/>
      <c r="O468" s="86">
        <f t="shared" si="122"/>
        <v>0</v>
      </c>
      <c r="P468" s="86">
        <f t="shared" si="122"/>
        <v>0</v>
      </c>
      <c r="Q468" s="86">
        <f t="shared" si="122"/>
        <v>0</v>
      </c>
      <c r="R468" s="86">
        <f t="shared" si="122"/>
        <v>0</v>
      </c>
      <c r="S468" s="86">
        <f t="shared" si="122"/>
        <v>0</v>
      </c>
      <c r="T468" s="86">
        <f t="shared" si="122"/>
        <v>0</v>
      </c>
      <c r="U468" s="87">
        <f t="shared" si="122"/>
        <v>0</v>
      </c>
      <c r="V468" s="15"/>
      <c r="W468" s="96">
        <f t="shared" si="116"/>
        <v>0</v>
      </c>
      <c r="X468" s="97">
        <f t="shared" si="117"/>
        <v>0</v>
      </c>
      <c r="Y468" s="98">
        <f t="shared" si="118"/>
        <v>0</v>
      </c>
      <c r="Z468" s="97">
        <f t="shared" si="119"/>
        <v>0</v>
      </c>
      <c r="AA468" s="98">
        <f t="shared" si="120"/>
        <v>0</v>
      </c>
      <c r="AB468" s="98">
        <f t="shared" si="121"/>
        <v>0</v>
      </c>
      <c r="AC468" s="91"/>
      <c r="AD468" s="92">
        <f t="shared" si="123"/>
        <v>0</v>
      </c>
    </row>
    <row r="469" spans="1:30" ht="11.25">
      <c r="A469" s="15"/>
      <c r="B469" s="93">
        <f>IF(C469&gt;$K$1,0,'Ranges and Data'!$A$10)</f>
        <v>0</v>
      </c>
      <c r="C469" s="94">
        <f t="shared" si="114"/>
        <v>45068.666666665755</v>
      </c>
      <c r="D469" s="85">
        <f t="shared" si="115"/>
        <v>0</v>
      </c>
      <c r="E469" s="15"/>
      <c r="F469" s="21"/>
      <c r="G469" s="21"/>
      <c r="H469" s="21"/>
      <c r="I469" s="21"/>
      <c r="J469" s="21"/>
      <c r="K469" s="21"/>
      <c r="L469" s="21"/>
      <c r="M469" s="15"/>
      <c r="N469" s="42"/>
      <c r="O469" s="86">
        <f t="shared" si="122"/>
        <v>0</v>
      </c>
      <c r="P469" s="86">
        <f t="shared" si="122"/>
        <v>0</v>
      </c>
      <c r="Q469" s="86">
        <f t="shared" si="122"/>
        <v>0</v>
      </c>
      <c r="R469" s="86">
        <f t="shared" si="122"/>
        <v>0</v>
      </c>
      <c r="S469" s="86">
        <f t="shared" si="122"/>
        <v>0</v>
      </c>
      <c r="T469" s="86">
        <f t="shared" si="122"/>
        <v>0</v>
      </c>
      <c r="U469" s="87">
        <f t="shared" si="122"/>
        <v>0</v>
      </c>
      <c r="V469" s="15"/>
      <c r="W469" s="96">
        <f t="shared" si="116"/>
        <v>0</v>
      </c>
      <c r="X469" s="97">
        <f t="shared" si="117"/>
        <v>0</v>
      </c>
      <c r="Y469" s="98">
        <f t="shared" si="118"/>
        <v>0</v>
      </c>
      <c r="Z469" s="97">
        <f t="shared" si="119"/>
        <v>0</v>
      </c>
      <c r="AA469" s="98">
        <f t="shared" si="120"/>
        <v>0</v>
      </c>
      <c r="AB469" s="98">
        <f t="shared" si="121"/>
        <v>0</v>
      </c>
      <c r="AC469" s="91"/>
      <c r="AD469" s="92">
        <f t="shared" si="123"/>
        <v>0</v>
      </c>
    </row>
    <row r="470" spans="1:30" ht="11.25">
      <c r="A470" s="15"/>
      <c r="B470" s="93">
        <f>IF(C470&gt;$K$1,0,'Ranges and Data'!$A$10)</f>
        <v>0</v>
      </c>
      <c r="C470" s="94">
        <f t="shared" si="114"/>
        <v>45099.08333333242</v>
      </c>
      <c r="D470" s="85">
        <f t="shared" si="115"/>
        <v>0</v>
      </c>
      <c r="E470" s="15"/>
      <c r="F470" s="21"/>
      <c r="G470" s="21"/>
      <c r="H470" s="21"/>
      <c r="I470" s="21"/>
      <c r="J470" s="21"/>
      <c r="K470" s="21"/>
      <c r="L470" s="21"/>
      <c r="M470" s="15"/>
      <c r="N470" s="42"/>
      <c r="O470" s="86">
        <f t="shared" si="122"/>
        <v>0</v>
      </c>
      <c r="P470" s="86">
        <f t="shared" si="122"/>
        <v>0</v>
      </c>
      <c r="Q470" s="86">
        <f t="shared" si="122"/>
        <v>0</v>
      </c>
      <c r="R470" s="86">
        <f t="shared" si="122"/>
        <v>0</v>
      </c>
      <c r="S470" s="86">
        <f t="shared" si="122"/>
        <v>0</v>
      </c>
      <c r="T470" s="86">
        <f t="shared" si="122"/>
        <v>0</v>
      </c>
      <c r="U470" s="87">
        <f t="shared" si="122"/>
        <v>0</v>
      </c>
      <c r="V470" s="15"/>
      <c r="W470" s="96">
        <f t="shared" si="116"/>
        <v>0</v>
      </c>
      <c r="X470" s="97">
        <f t="shared" si="117"/>
        <v>0</v>
      </c>
      <c r="Y470" s="98">
        <f t="shared" si="118"/>
        <v>0</v>
      </c>
      <c r="Z470" s="97">
        <f t="shared" si="119"/>
        <v>0</v>
      </c>
      <c r="AA470" s="98">
        <f t="shared" si="120"/>
        <v>0</v>
      </c>
      <c r="AB470" s="98">
        <f t="shared" si="121"/>
        <v>0</v>
      </c>
      <c r="AC470" s="91"/>
      <c r="AD470" s="92">
        <f t="shared" si="123"/>
        <v>0</v>
      </c>
    </row>
    <row r="471" spans="1:30" ht="11.25">
      <c r="A471" s="15"/>
      <c r="B471" s="93">
        <f>IF(C471&gt;$K$1,0,'Ranges and Data'!$A$10)</f>
        <v>0</v>
      </c>
      <c r="C471" s="94">
        <f t="shared" si="114"/>
        <v>45129.49999999908</v>
      </c>
      <c r="D471" s="85">
        <f t="shared" si="115"/>
        <v>0</v>
      </c>
      <c r="E471" s="15"/>
      <c r="F471" s="21"/>
      <c r="G471" s="21"/>
      <c r="H471" s="21"/>
      <c r="I471" s="21"/>
      <c r="J471" s="21"/>
      <c r="K471" s="21"/>
      <c r="L471" s="21"/>
      <c r="M471" s="15"/>
      <c r="N471" s="42"/>
      <c r="O471" s="86">
        <f t="shared" si="122"/>
        <v>0</v>
      </c>
      <c r="P471" s="86">
        <f t="shared" si="122"/>
        <v>0</v>
      </c>
      <c r="Q471" s="86">
        <f t="shared" si="122"/>
        <v>0</v>
      </c>
      <c r="R471" s="86">
        <f t="shared" si="122"/>
        <v>0</v>
      </c>
      <c r="S471" s="86">
        <f t="shared" si="122"/>
        <v>0</v>
      </c>
      <c r="T471" s="86">
        <f t="shared" si="122"/>
        <v>0</v>
      </c>
      <c r="U471" s="87">
        <f t="shared" si="122"/>
        <v>0</v>
      </c>
      <c r="V471" s="15"/>
      <c r="W471" s="96">
        <f t="shared" si="116"/>
        <v>0</v>
      </c>
      <c r="X471" s="97">
        <f t="shared" si="117"/>
        <v>0</v>
      </c>
      <c r="Y471" s="98">
        <f t="shared" si="118"/>
        <v>0</v>
      </c>
      <c r="Z471" s="97">
        <f t="shared" si="119"/>
        <v>0</v>
      </c>
      <c r="AA471" s="98">
        <f t="shared" si="120"/>
        <v>0</v>
      </c>
      <c r="AB471" s="98">
        <f t="shared" si="121"/>
        <v>0</v>
      </c>
      <c r="AC471" s="91"/>
      <c r="AD471" s="92">
        <f t="shared" si="123"/>
        <v>0</v>
      </c>
    </row>
    <row r="472" spans="1:30" ht="11.25">
      <c r="A472" s="15"/>
      <c r="B472" s="93">
        <f>IF(C472&gt;$K$1,0,'Ranges and Data'!$A$10)</f>
        <v>0</v>
      </c>
      <c r="C472" s="94">
        <f t="shared" si="114"/>
        <v>45159.91666666575</v>
      </c>
      <c r="D472" s="85">
        <f t="shared" si="115"/>
        <v>0</v>
      </c>
      <c r="E472" s="15"/>
      <c r="F472" s="21"/>
      <c r="G472" s="21"/>
      <c r="H472" s="21"/>
      <c r="I472" s="21"/>
      <c r="J472" s="21"/>
      <c r="K472" s="21"/>
      <c r="L472" s="21"/>
      <c r="M472" s="15"/>
      <c r="N472" s="42"/>
      <c r="O472" s="86">
        <f t="shared" si="122"/>
        <v>0</v>
      </c>
      <c r="P472" s="86">
        <f t="shared" si="122"/>
        <v>0</v>
      </c>
      <c r="Q472" s="86">
        <f t="shared" si="122"/>
        <v>0</v>
      </c>
      <c r="R472" s="86">
        <f t="shared" si="122"/>
        <v>0</v>
      </c>
      <c r="S472" s="86">
        <f t="shared" si="122"/>
        <v>0</v>
      </c>
      <c r="T472" s="86">
        <f t="shared" si="122"/>
        <v>0</v>
      </c>
      <c r="U472" s="87">
        <f t="shared" si="122"/>
        <v>0</v>
      </c>
      <c r="V472" s="15"/>
      <c r="W472" s="96">
        <f t="shared" si="116"/>
        <v>0</v>
      </c>
      <c r="X472" s="97">
        <f t="shared" si="117"/>
        <v>0</v>
      </c>
      <c r="Y472" s="98">
        <f t="shared" si="118"/>
        <v>0</v>
      </c>
      <c r="Z472" s="97">
        <f t="shared" si="119"/>
        <v>0</v>
      </c>
      <c r="AA472" s="98">
        <f t="shared" si="120"/>
        <v>0</v>
      </c>
      <c r="AB472" s="98">
        <f t="shared" si="121"/>
        <v>0</v>
      </c>
      <c r="AC472" s="91"/>
      <c r="AD472" s="92">
        <f t="shared" si="123"/>
        <v>0</v>
      </c>
    </row>
    <row r="473" spans="1:30" ht="11.25">
      <c r="A473" s="15"/>
      <c r="B473" s="93">
        <f>IF(C473&gt;$K$1,0,'Ranges and Data'!$A$10)</f>
        <v>0</v>
      </c>
      <c r="C473" s="94">
        <f t="shared" si="114"/>
        <v>45190.33333333241</v>
      </c>
      <c r="D473" s="85">
        <f t="shared" si="115"/>
        <v>0</v>
      </c>
      <c r="E473" s="15"/>
      <c r="F473" s="21"/>
      <c r="G473" s="21"/>
      <c r="H473" s="21"/>
      <c r="I473" s="21"/>
      <c r="J473" s="21"/>
      <c r="K473" s="21"/>
      <c r="L473" s="21"/>
      <c r="M473" s="15"/>
      <c r="N473" s="42"/>
      <c r="O473" s="86">
        <f t="shared" si="122"/>
        <v>0</v>
      </c>
      <c r="P473" s="86">
        <f t="shared" si="122"/>
        <v>0</v>
      </c>
      <c r="Q473" s="86">
        <f t="shared" si="122"/>
        <v>0</v>
      </c>
      <c r="R473" s="86">
        <f t="shared" si="122"/>
        <v>0</v>
      </c>
      <c r="S473" s="86">
        <f t="shared" si="122"/>
        <v>0</v>
      </c>
      <c r="T473" s="86">
        <f t="shared" si="122"/>
        <v>0</v>
      </c>
      <c r="U473" s="87">
        <f t="shared" si="122"/>
        <v>0</v>
      </c>
      <c r="V473" s="15"/>
      <c r="W473" s="96">
        <f t="shared" si="116"/>
        <v>0</v>
      </c>
      <c r="X473" s="97">
        <f t="shared" si="117"/>
        <v>0</v>
      </c>
      <c r="Y473" s="98">
        <f t="shared" si="118"/>
        <v>0</v>
      </c>
      <c r="Z473" s="97">
        <f t="shared" si="119"/>
        <v>0</v>
      </c>
      <c r="AA473" s="98">
        <f t="shared" si="120"/>
        <v>0</v>
      </c>
      <c r="AB473" s="98">
        <f t="shared" si="121"/>
        <v>0</v>
      </c>
      <c r="AC473" s="91"/>
      <c r="AD473" s="92">
        <f t="shared" si="123"/>
        <v>0</v>
      </c>
    </row>
    <row r="474" spans="1:30" ht="11.25">
      <c r="A474" s="15"/>
      <c r="B474" s="93">
        <f>IF(C474&gt;$K$1,0,'Ranges and Data'!$A$10)</f>
        <v>0</v>
      </c>
      <c r="C474" s="94">
        <f t="shared" si="114"/>
        <v>45220.749999999076</v>
      </c>
      <c r="D474" s="85">
        <f t="shared" si="115"/>
        <v>0</v>
      </c>
      <c r="E474" s="15"/>
      <c r="F474" s="21"/>
      <c r="G474" s="21"/>
      <c r="H474" s="21"/>
      <c r="I474" s="21"/>
      <c r="J474" s="21"/>
      <c r="K474" s="21"/>
      <c r="L474" s="21"/>
      <c r="M474" s="15"/>
      <c r="N474" s="42"/>
      <c r="O474" s="86">
        <f t="shared" si="122"/>
        <v>0</v>
      </c>
      <c r="P474" s="86">
        <f t="shared" si="122"/>
        <v>0</v>
      </c>
      <c r="Q474" s="86">
        <f t="shared" si="122"/>
        <v>0</v>
      </c>
      <c r="R474" s="86">
        <f t="shared" si="122"/>
        <v>0</v>
      </c>
      <c r="S474" s="86">
        <f t="shared" si="122"/>
        <v>0</v>
      </c>
      <c r="T474" s="86">
        <f t="shared" si="122"/>
        <v>0</v>
      </c>
      <c r="U474" s="87">
        <f t="shared" si="122"/>
        <v>0</v>
      </c>
      <c r="V474" s="15"/>
      <c r="W474" s="96">
        <f t="shared" si="116"/>
        <v>0</v>
      </c>
      <c r="X474" s="97">
        <f t="shared" si="117"/>
        <v>0</v>
      </c>
      <c r="Y474" s="98">
        <f t="shared" si="118"/>
        <v>0</v>
      </c>
      <c r="Z474" s="97">
        <f t="shared" si="119"/>
        <v>0</v>
      </c>
      <c r="AA474" s="98">
        <f t="shared" si="120"/>
        <v>0</v>
      </c>
      <c r="AB474" s="98">
        <f t="shared" si="121"/>
        <v>0</v>
      </c>
      <c r="AC474" s="91"/>
      <c r="AD474" s="92">
        <f t="shared" si="123"/>
        <v>0</v>
      </c>
    </row>
    <row r="475" spans="1:30" ht="11.25">
      <c r="A475" s="15"/>
      <c r="B475" s="93">
        <f>IF(C475&gt;$K$1,0,'Ranges and Data'!$A$10)</f>
        <v>0</v>
      </c>
      <c r="C475" s="94">
        <f t="shared" si="114"/>
        <v>45251.16666666574</v>
      </c>
      <c r="D475" s="85">
        <f t="shared" si="115"/>
        <v>0</v>
      </c>
      <c r="E475" s="15"/>
      <c r="F475" s="21"/>
      <c r="G475" s="21"/>
      <c r="H475" s="21"/>
      <c r="I475" s="21"/>
      <c r="J475" s="21"/>
      <c r="K475" s="21"/>
      <c r="L475" s="21"/>
      <c r="M475" s="15"/>
      <c r="N475" s="42"/>
      <c r="O475" s="86">
        <f t="shared" si="122"/>
        <v>0</v>
      </c>
      <c r="P475" s="86">
        <f t="shared" si="122"/>
        <v>0</v>
      </c>
      <c r="Q475" s="86">
        <f t="shared" si="122"/>
        <v>0</v>
      </c>
      <c r="R475" s="86">
        <f t="shared" si="122"/>
        <v>0</v>
      </c>
      <c r="S475" s="86">
        <f t="shared" si="122"/>
        <v>0</v>
      </c>
      <c r="T475" s="86">
        <f t="shared" si="122"/>
        <v>0</v>
      </c>
      <c r="U475" s="87">
        <f t="shared" si="122"/>
        <v>0</v>
      </c>
      <c r="V475" s="15"/>
      <c r="W475" s="96">
        <f t="shared" si="116"/>
        <v>0</v>
      </c>
      <c r="X475" s="97">
        <f t="shared" si="117"/>
        <v>0</v>
      </c>
      <c r="Y475" s="98">
        <f t="shared" si="118"/>
        <v>0</v>
      </c>
      <c r="Z475" s="97">
        <f t="shared" si="119"/>
        <v>0</v>
      </c>
      <c r="AA475" s="98">
        <f t="shared" si="120"/>
        <v>0</v>
      </c>
      <c r="AB475" s="98">
        <f t="shared" si="121"/>
        <v>0</v>
      </c>
      <c r="AC475" s="91"/>
      <c r="AD475" s="92">
        <f t="shared" si="123"/>
        <v>0</v>
      </c>
    </row>
    <row r="476" spans="1:30" ht="11.25">
      <c r="A476" s="15"/>
      <c r="B476" s="93">
        <f>IF(C476&gt;$K$1,0,'Ranges and Data'!$A$10)</f>
        <v>0</v>
      </c>
      <c r="C476" s="94">
        <f aca="true" t="shared" si="124" ref="C476:C490">C475+(365/12)</f>
        <v>45281.583333332404</v>
      </c>
      <c r="D476" s="85">
        <f aca="true" t="shared" si="125" ref="D476:D490">IF(B476&lt;&gt;0,$K$1-C476,0)/365</f>
        <v>0</v>
      </c>
      <c r="E476" s="15"/>
      <c r="F476" s="21"/>
      <c r="G476" s="21"/>
      <c r="H476" s="21"/>
      <c r="I476" s="21"/>
      <c r="J476" s="21"/>
      <c r="K476" s="21"/>
      <c r="L476" s="21"/>
      <c r="M476" s="15"/>
      <c r="N476" s="42"/>
      <c r="O476" s="86">
        <f t="shared" si="122"/>
        <v>0</v>
      </c>
      <c r="P476" s="86">
        <f t="shared" si="122"/>
        <v>0</v>
      </c>
      <c r="Q476" s="86">
        <f t="shared" si="122"/>
        <v>0</v>
      </c>
      <c r="R476" s="86">
        <f t="shared" si="122"/>
        <v>0</v>
      </c>
      <c r="S476" s="86">
        <f t="shared" si="122"/>
        <v>0</v>
      </c>
      <c r="T476" s="86">
        <f t="shared" si="122"/>
        <v>0</v>
      </c>
      <c r="U476" s="87">
        <f t="shared" si="122"/>
        <v>0</v>
      </c>
      <c r="V476" s="15"/>
      <c r="W476" s="96">
        <f aca="true" t="shared" si="126" ref="W476:W490">$B476*I$3^$D476</f>
        <v>0</v>
      </c>
      <c r="X476" s="97">
        <f aca="true" t="shared" si="127" ref="X476:X490">W476*$D476/I$3</f>
        <v>0</v>
      </c>
      <c r="Y476" s="98">
        <f aca="true" t="shared" si="128" ref="Y476:Y490">$B476*I$4^$D476</f>
        <v>0</v>
      </c>
      <c r="Z476" s="97">
        <f aca="true" t="shared" si="129" ref="Z476:Z490">Y476*$D476/I$4</f>
        <v>0</v>
      </c>
      <c r="AA476" s="98">
        <f aca="true" t="shared" si="130" ref="AA476:AA490">$B476*I$5^$D476</f>
        <v>0</v>
      </c>
      <c r="AB476" s="98">
        <f aca="true" t="shared" si="131" ref="AB476:AB490">AA476*$D476/I$5</f>
        <v>0</v>
      </c>
      <c r="AC476" s="91"/>
      <c r="AD476" s="92">
        <f t="shared" si="123"/>
        <v>0</v>
      </c>
    </row>
    <row r="477" spans="1:30" ht="11.25">
      <c r="A477" s="15"/>
      <c r="B477" s="93">
        <f>IF(C477&gt;$K$1,0,'Ranges and Data'!$A$10)</f>
        <v>0</v>
      </c>
      <c r="C477" s="94">
        <f t="shared" si="124"/>
        <v>45311.99999999907</v>
      </c>
      <c r="D477" s="85">
        <f t="shared" si="125"/>
        <v>0</v>
      </c>
      <c r="E477" s="15"/>
      <c r="F477" s="21"/>
      <c r="G477" s="21"/>
      <c r="H477" s="21"/>
      <c r="I477" s="21"/>
      <c r="J477" s="21"/>
      <c r="K477" s="21"/>
      <c r="L477" s="21"/>
      <c r="M477" s="15"/>
      <c r="N477" s="42"/>
      <c r="O477" s="86">
        <f t="shared" si="122"/>
        <v>0</v>
      </c>
      <c r="P477" s="86">
        <f t="shared" si="122"/>
        <v>0</v>
      </c>
      <c r="Q477" s="86">
        <f t="shared" si="122"/>
        <v>0</v>
      </c>
      <c r="R477" s="86">
        <f t="shared" si="122"/>
        <v>0</v>
      </c>
      <c r="S477" s="86">
        <f t="shared" si="122"/>
        <v>0</v>
      </c>
      <c r="T477" s="86">
        <f t="shared" si="122"/>
        <v>0</v>
      </c>
      <c r="U477" s="87">
        <f t="shared" si="122"/>
        <v>0</v>
      </c>
      <c r="V477" s="15"/>
      <c r="W477" s="96">
        <f t="shared" si="126"/>
        <v>0</v>
      </c>
      <c r="X477" s="97">
        <f t="shared" si="127"/>
        <v>0</v>
      </c>
      <c r="Y477" s="98">
        <f t="shared" si="128"/>
        <v>0</v>
      </c>
      <c r="Z477" s="97">
        <f t="shared" si="129"/>
        <v>0</v>
      </c>
      <c r="AA477" s="98">
        <f t="shared" si="130"/>
        <v>0</v>
      </c>
      <c r="AB477" s="98">
        <f t="shared" si="131"/>
        <v>0</v>
      </c>
      <c r="AC477" s="91"/>
      <c r="AD477" s="92">
        <f t="shared" si="123"/>
        <v>0</v>
      </c>
    </row>
    <row r="478" spans="1:30" ht="11.25">
      <c r="A478" s="15"/>
      <c r="B478" s="93">
        <f>IF(C478&gt;$K$1,0,'Ranges and Data'!$A$10)</f>
        <v>0</v>
      </c>
      <c r="C478" s="94">
        <f t="shared" si="124"/>
        <v>45342.41666666573</v>
      </c>
      <c r="D478" s="85">
        <f t="shared" si="125"/>
        <v>0</v>
      </c>
      <c r="E478" s="15"/>
      <c r="F478" s="21"/>
      <c r="G478" s="21"/>
      <c r="H478" s="21"/>
      <c r="I478" s="21"/>
      <c r="J478" s="21"/>
      <c r="K478" s="21"/>
      <c r="L478" s="21"/>
      <c r="M478" s="15"/>
      <c r="N478" s="42"/>
      <c r="O478" s="86">
        <f t="shared" si="122"/>
        <v>0</v>
      </c>
      <c r="P478" s="86">
        <f t="shared" si="122"/>
        <v>0</v>
      </c>
      <c r="Q478" s="86">
        <f t="shared" si="122"/>
        <v>0</v>
      </c>
      <c r="R478" s="86">
        <f t="shared" si="122"/>
        <v>0</v>
      </c>
      <c r="S478" s="86">
        <f t="shared" si="122"/>
        <v>0</v>
      </c>
      <c r="T478" s="86">
        <f t="shared" si="122"/>
        <v>0</v>
      </c>
      <c r="U478" s="87">
        <f t="shared" si="122"/>
        <v>0</v>
      </c>
      <c r="V478" s="15"/>
      <c r="W478" s="96">
        <f t="shared" si="126"/>
        <v>0</v>
      </c>
      <c r="X478" s="97">
        <f t="shared" si="127"/>
        <v>0</v>
      </c>
      <c r="Y478" s="98">
        <f t="shared" si="128"/>
        <v>0</v>
      </c>
      <c r="Z478" s="97">
        <f t="shared" si="129"/>
        <v>0</v>
      </c>
      <c r="AA478" s="98">
        <f t="shared" si="130"/>
        <v>0</v>
      </c>
      <c r="AB478" s="98">
        <f t="shared" si="131"/>
        <v>0</v>
      </c>
      <c r="AC478" s="91"/>
      <c r="AD478" s="92">
        <f t="shared" si="123"/>
        <v>0</v>
      </c>
    </row>
    <row r="479" spans="1:30" ht="11.25">
      <c r="A479" s="15"/>
      <c r="B479" s="93">
        <f>IF(C479&gt;$K$1,0,'Ranges and Data'!$A$10)</f>
        <v>0</v>
      </c>
      <c r="C479" s="94">
        <f t="shared" si="124"/>
        <v>45372.8333333324</v>
      </c>
      <c r="D479" s="85">
        <f t="shared" si="125"/>
        <v>0</v>
      </c>
      <c r="E479" s="15"/>
      <c r="F479" s="21"/>
      <c r="G479" s="21"/>
      <c r="H479" s="21"/>
      <c r="I479" s="21"/>
      <c r="J479" s="21"/>
      <c r="K479" s="21"/>
      <c r="L479" s="21"/>
      <c r="M479" s="15"/>
      <c r="N479" s="42"/>
      <c r="O479" s="86">
        <f t="shared" si="122"/>
        <v>0</v>
      </c>
      <c r="P479" s="86">
        <f t="shared" si="122"/>
        <v>0</v>
      </c>
      <c r="Q479" s="86">
        <f t="shared" si="122"/>
        <v>0</v>
      </c>
      <c r="R479" s="86">
        <f t="shared" si="122"/>
        <v>0</v>
      </c>
      <c r="S479" s="86">
        <f t="shared" si="122"/>
        <v>0</v>
      </c>
      <c r="T479" s="86">
        <f t="shared" si="122"/>
        <v>0</v>
      </c>
      <c r="U479" s="87">
        <f aca="true" t="shared" si="132" ref="O479:U490">$B479*U$7^$D479</f>
        <v>0</v>
      </c>
      <c r="V479" s="15"/>
      <c r="W479" s="96">
        <f t="shared" si="126"/>
        <v>0</v>
      </c>
      <c r="X479" s="97">
        <f t="shared" si="127"/>
        <v>0</v>
      </c>
      <c r="Y479" s="98">
        <f t="shared" si="128"/>
        <v>0</v>
      </c>
      <c r="Z479" s="97">
        <f t="shared" si="129"/>
        <v>0</v>
      </c>
      <c r="AA479" s="98">
        <f t="shared" si="130"/>
        <v>0</v>
      </c>
      <c r="AB479" s="98">
        <f t="shared" si="131"/>
        <v>0</v>
      </c>
      <c r="AC479" s="91"/>
      <c r="AD479" s="92">
        <f t="shared" si="123"/>
        <v>0</v>
      </c>
    </row>
    <row r="480" spans="1:30" ht="11.25">
      <c r="A480" s="15"/>
      <c r="B480" s="93">
        <f>IF(C480&gt;$K$1,0,'Ranges and Data'!$A$10)</f>
        <v>0</v>
      </c>
      <c r="C480" s="94">
        <f t="shared" si="124"/>
        <v>45403.24999999906</v>
      </c>
      <c r="D480" s="85">
        <f t="shared" si="125"/>
        <v>0</v>
      </c>
      <c r="E480" s="15"/>
      <c r="F480" s="21"/>
      <c r="G480" s="21"/>
      <c r="H480" s="21"/>
      <c r="I480" s="21"/>
      <c r="J480" s="21"/>
      <c r="K480" s="21"/>
      <c r="L480" s="21"/>
      <c r="M480" s="15"/>
      <c r="N480" s="42"/>
      <c r="O480" s="86">
        <f t="shared" si="132"/>
        <v>0</v>
      </c>
      <c r="P480" s="86">
        <f t="shared" si="132"/>
        <v>0</v>
      </c>
      <c r="Q480" s="86">
        <f t="shared" si="132"/>
        <v>0</v>
      </c>
      <c r="R480" s="86">
        <f t="shared" si="132"/>
        <v>0</v>
      </c>
      <c r="S480" s="86">
        <f t="shared" si="132"/>
        <v>0</v>
      </c>
      <c r="T480" s="86">
        <f t="shared" si="132"/>
        <v>0</v>
      </c>
      <c r="U480" s="87">
        <f t="shared" si="132"/>
        <v>0</v>
      </c>
      <c r="V480" s="15"/>
      <c r="W480" s="96">
        <f t="shared" si="126"/>
        <v>0</v>
      </c>
      <c r="X480" s="97">
        <f t="shared" si="127"/>
        <v>0</v>
      </c>
      <c r="Y480" s="98">
        <f t="shared" si="128"/>
        <v>0</v>
      </c>
      <c r="Z480" s="97">
        <f t="shared" si="129"/>
        <v>0</v>
      </c>
      <c r="AA480" s="98">
        <f t="shared" si="130"/>
        <v>0</v>
      </c>
      <c r="AB480" s="98">
        <f t="shared" si="131"/>
        <v>0</v>
      </c>
      <c r="AC480" s="91"/>
      <c r="AD480" s="92">
        <f t="shared" si="123"/>
        <v>0</v>
      </c>
    </row>
    <row r="481" spans="1:30" ht="11.25">
      <c r="A481" s="15"/>
      <c r="B481" s="93">
        <f>IF(C481&gt;$K$1,0,'Ranges and Data'!$A$10)</f>
        <v>0</v>
      </c>
      <c r="C481" s="94">
        <f t="shared" si="124"/>
        <v>45433.666666665726</v>
      </c>
      <c r="D481" s="85">
        <f t="shared" si="125"/>
        <v>0</v>
      </c>
      <c r="E481" s="15"/>
      <c r="F481" s="21"/>
      <c r="G481" s="21"/>
      <c r="H481" s="21"/>
      <c r="I481" s="21"/>
      <c r="J481" s="21"/>
      <c r="K481" s="21"/>
      <c r="L481" s="21"/>
      <c r="M481" s="15"/>
      <c r="N481" s="42"/>
      <c r="O481" s="86">
        <f t="shared" si="132"/>
        <v>0</v>
      </c>
      <c r="P481" s="86">
        <f t="shared" si="132"/>
        <v>0</v>
      </c>
      <c r="Q481" s="86">
        <f t="shared" si="132"/>
        <v>0</v>
      </c>
      <c r="R481" s="86">
        <f t="shared" si="132"/>
        <v>0</v>
      </c>
      <c r="S481" s="86">
        <f t="shared" si="132"/>
        <v>0</v>
      </c>
      <c r="T481" s="86">
        <f t="shared" si="132"/>
        <v>0</v>
      </c>
      <c r="U481" s="87">
        <f t="shared" si="132"/>
        <v>0</v>
      </c>
      <c r="V481" s="15"/>
      <c r="W481" s="96">
        <f t="shared" si="126"/>
        <v>0</v>
      </c>
      <c r="X481" s="97">
        <f t="shared" si="127"/>
        <v>0</v>
      </c>
      <c r="Y481" s="98">
        <f t="shared" si="128"/>
        <v>0</v>
      </c>
      <c r="Z481" s="97">
        <f t="shared" si="129"/>
        <v>0</v>
      </c>
      <c r="AA481" s="98">
        <f t="shared" si="130"/>
        <v>0</v>
      </c>
      <c r="AB481" s="98">
        <f t="shared" si="131"/>
        <v>0</v>
      </c>
      <c r="AC481" s="91"/>
      <c r="AD481" s="92">
        <f t="shared" si="123"/>
        <v>0</v>
      </c>
    </row>
    <row r="482" spans="1:30" ht="11.25">
      <c r="A482" s="15"/>
      <c r="B482" s="93">
        <f>IF(C482&gt;$K$1,0,'Ranges and Data'!$A$10)</f>
        <v>0</v>
      </c>
      <c r="C482" s="94">
        <f t="shared" si="124"/>
        <v>45464.08333333239</v>
      </c>
      <c r="D482" s="85">
        <f t="shared" si="125"/>
        <v>0</v>
      </c>
      <c r="E482" s="15"/>
      <c r="F482" s="21"/>
      <c r="G482" s="21"/>
      <c r="H482" s="21"/>
      <c r="I482" s="21"/>
      <c r="J482" s="21"/>
      <c r="K482" s="21"/>
      <c r="L482" s="21"/>
      <c r="M482" s="15"/>
      <c r="N482" s="42"/>
      <c r="O482" s="86">
        <f t="shared" si="132"/>
        <v>0</v>
      </c>
      <c r="P482" s="86">
        <f t="shared" si="132"/>
        <v>0</v>
      </c>
      <c r="Q482" s="86">
        <f t="shared" si="132"/>
        <v>0</v>
      </c>
      <c r="R482" s="86">
        <f t="shared" si="132"/>
        <v>0</v>
      </c>
      <c r="S482" s="86">
        <f t="shared" si="132"/>
        <v>0</v>
      </c>
      <c r="T482" s="86">
        <f t="shared" si="132"/>
        <v>0</v>
      </c>
      <c r="U482" s="87">
        <f t="shared" si="132"/>
        <v>0</v>
      </c>
      <c r="V482" s="15"/>
      <c r="W482" s="96">
        <f t="shared" si="126"/>
        <v>0</v>
      </c>
      <c r="X482" s="97">
        <f t="shared" si="127"/>
        <v>0</v>
      </c>
      <c r="Y482" s="98">
        <f t="shared" si="128"/>
        <v>0</v>
      </c>
      <c r="Z482" s="97">
        <f t="shared" si="129"/>
        <v>0</v>
      </c>
      <c r="AA482" s="98">
        <f t="shared" si="130"/>
        <v>0</v>
      </c>
      <c r="AB482" s="98">
        <f t="shared" si="131"/>
        <v>0</v>
      </c>
      <c r="AC482" s="91"/>
      <c r="AD482" s="92">
        <f t="shared" si="123"/>
        <v>0</v>
      </c>
    </row>
    <row r="483" spans="1:30" ht="11.25">
      <c r="A483" s="15"/>
      <c r="B483" s="93">
        <f>IF(C483&gt;$K$1,0,'Ranges and Data'!$A$10)</f>
        <v>0</v>
      </c>
      <c r="C483" s="94">
        <f t="shared" si="124"/>
        <v>45494.499999999054</v>
      </c>
      <c r="D483" s="85">
        <f t="shared" si="125"/>
        <v>0</v>
      </c>
      <c r="E483" s="15"/>
      <c r="F483" s="21"/>
      <c r="G483" s="21"/>
      <c r="H483" s="21"/>
      <c r="I483" s="21"/>
      <c r="J483" s="21"/>
      <c r="K483" s="21"/>
      <c r="L483" s="21"/>
      <c r="M483" s="15"/>
      <c r="N483" s="42"/>
      <c r="O483" s="86">
        <f t="shared" si="132"/>
        <v>0</v>
      </c>
      <c r="P483" s="86">
        <f t="shared" si="132"/>
        <v>0</v>
      </c>
      <c r="Q483" s="86">
        <f t="shared" si="132"/>
        <v>0</v>
      </c>
      <c r="R483" s="86">
        <f t="shared" si="132"/>
        <v>0</v>
      </c>
      <c r="S483" s="86">
        <f t="shared" si="132"/>
        <v>0</v>
      </c>
      <c r="T483" s="86">
        <f t="shared" si="132"/>
        <v>0</v>
      </c>
      <c r="U483" s="87">
        <f t="shared" si="132"/>
        <v>0</v>
      </c>
      <c r="V483" s="15"/>
      <c r="W483" s="96">
        <f t="shared" si="126"/>
        <v>0</v>
      </c>
      <c r="X483" s="97">
        <f t="shared" si="127"/>
        <v>0</v>
      </c>
      <c r="Y483" s="98">
        <f t="shared" si="128"/>
        <v>0</v>
      </c>
      <c r="Z483" s="97">
        <f t="shared" si="129"/>
        <v>0</v>
      </c>
      <c r="AA483" s="98">
        <f t="shared" si="130"/>
        <v>0</v>
      </c>
      <c r="AB483" s="98">
        <f t="shared" si="131"/>
        <v>0</v>
      </c>
      <c r="AC483" s="91"/>
      <c r="AD483" s="92">
        <f t="shared" si="123"/>
        <v>0</v>
      </c>
    </row>
    <row r="484" spans="1:30" ht="11.25">
      <c r="A484" s="15"/>
      <c r="B484" s="93">
        <f>IF(C484&gt;$K$1,0,'Ranges and Data'!$A$10)</f>
        <v>0</v>
      </c>
      <c r="C484" s="94">
        <f t="shared" si="124"/>
        <v>45524.91666666572</v>
      </c>
      <c r="D484" s="85">
        <f t="shared" si="125"/>
        <v>0</v>
      </c>
      <c r="E484" s="15"/>
      <c r="F484" s="21"/>
      <c r="G484" s="21"/>
      <c r="H484" s="21"/>
      <c r="I484" s="21"/>
      <c r="J484" s="21"/>
      <c r="K484" s="21"/>
      <c r="L484" s="21"/>
      <c r="M484" s="15"/>
      <c r="N484" s="42"/>
      <c r="O484" s="86">
        <f t="shared" si="132"/>
        <v>0</v>
      </c>
      <c r="P484" s="86">
        <f t="shared" si="132"/>
        <v>0</v>
      </c>
      <c r="Q484" s="86">
        <f t="shared" si="132"/>
        <v>0</v>
      </c>
      <c r="R484" s="86">
        <f t="shared" si="132"/>
        <v>0</v>
      </c>
      <c r="S484" s="86">
        <f t="shared" si="132"/>
        <v>0</v>
      </c>
      <c r="T484" s="86">
        <f t="shared" si="132"/>
        <v>0</v>
      </c>
      <c r="U484" s="87">
        <f t="shared" si="132"/>
        <v>0</v>
      </c>
      <c r="V484" s="15"/>
      <c r="W484" s="96">
        <f t="shared" si="126"/>
        <v>0</v>
      </c>
      <c r="X484" s="97">
        <f t="shared" si="127"/>
        <v>0</v>
      </c>
      <c r="Y484" s="98">
        <f t="shared" si="128"/>
        <v>0</v>
      </c>
      <c r="Z484" s="97">
        <f t="shared" si="129"/>
        <v>0</v>
      </c>
      <c r="AA484" s="98">
        <f t="shared" si="130"/>
        <v>0</v>
      </c>
      <c r="AB484" s="98">
        <f t="shared" si="131"/>
        <v>0</v>
      </c>
      <c r="AC484" s="91"/>
      <c r="AD484" s="92">
        <f t="shared" si="123"/>
        <v>0</v>
      </c>
    </row>
    <row r="485" spans="1:30" ht="11.25">
      <c r="A485" s="15"/>
      <c r="B485" s="93">
        <f>IF(C485&gt;$K$1,0,'Ranges and Data'!$A$10)</f>
        <v>0</v>
      </c>
      <c r="C485" s="94">
        <f t="shared" si="124"/>
        <v>45555.33333333238</v>
      </c>
      <c r="D485" s="85">
        <f t="shared" si="125"/>
        <v>0</v>
      </c>
      <c r="E485" s="15"/>
      <c r="F485" s="21"/>
      <c r="G485" s="21"/>
      <c r="H485" s="21"/>
      <c r="I485" s="21"/>
      <c r="J485" s="21"/>
      <c r="K485" s="21"/>
      <c r="L485" s="21"/>
      <c r="M485" s="15"/>
      <c r="N485" s="42"/>
      <c r="O485" s="86">
        <f t="shared" si="132"/>
        <v>0</v>
      </c>
      <c r="P485" s="86">
        <f t="shared" si="132"/>
        <v>0</v>
      </c>
      <c r="Q485" s="86">
        <f t="shared" si="132"/>
        <v>0</v>
      </c>
      <c r="R485" s="86">
        <f t="shared" si="132"/>
        <v>0</v>
      </c>
      <c r="S485" s="86">
        <f t="shared" si="132"/>
        <v>0</v>
      </c>
      <c r="T485" s="86">
        <f t="shared" si="132"/>
        <v>0</v>
      </c>
      <c r="U485" s="87">
        <f t="shared" si="132"/>
        <v>0</v>
      </c>
      <c r="V485" s="15"/>
      <c r="W485" s="96">
        <f t="shared" si="126"/>
        <v>0</v>
      </c>
      <c r="X485" s="97">
        <f t="shared" si="127"/>
        <v>0</v>
      </c>
      <c r="Y485" s="98">
        <f t="shared" si="128"/>
        <v>0</v>
      </c>
      <c r="Z485" s="97">
        <f t="shared" si="129"/>
        <v>0</v>
      </c>
      <c r="AA485" s="98">
        <f t="shared" si="130"/>
        <v>0</v>
      </c>
      <c r="AB485" s="98">
        <f t="shared" si="131"/>
        <v>0</v>
      </c>
      <c r="AC485" s="91"/>
      <c r="AD485" s="92">
        <f t="shared" si="123"/>
        <v>0</v>
      </c>
    </row>
    <row r="486" spans="1:30" ht="11.25">
      <c r="A486" s="15"/>
      <c r="B486" s="93">
        <f>IF(C486&gt;$K$1,0,'Ranges and Data'!$A$10)</f>
        <v>0</v>
      </c>
      <c r="C486" s="94">
        <f t="shared" si="124"/>
        <v>45585.74999999905</v>
      </c>
      <c r="D486" s="85">
        <f t="shared" si="125"/>
        <v>0</v>
      </c>
      <c r="E486" s="15"/>
      <c r="F486" s="21"/>
      <c r="G486" s="21"/>
      <c r="H486" s="21"/>
      <c r="I486" s="21"/>
      <c r="J486" s="21"/>
      <c r="K486" s="21"/>
      <c r="L486" s="21"/>
      <c r="M486" s="15"/>
      <c r="N486" s="42"/>
      <c r="O486" s="86">
        <f t="shared" si="132"/>
        <v>0</v>
      </c>
      <c r="P486" s="86">
        <f t="shared" si="132"/>
        <v>0</v>
      </c>
      <c r="Q486" s="86">
        <f t="shared" si="132"/>
        <v>0</v>
      </c>
      <c r="R486" s="86">
        <f t="shared" si="132"/>
        <v>0</v>
      </c>
      <c r="S486" s="86">
        <f t="shared" si="132"/>
        <v>0</v>
      </c>
      <c r="T486" s="86">
        <f t="shared" si="132"/>
        <v>0</v>
      </c>
      <c r="U486" s="87">
        <f t="shared" si="132"/>
        <v>0</v>
      </c>
      <c r="V486" s="15"/>
      <c r="W486" s="96">
        <f t="shared" si="126"/>
        <v>0</v>
      </c>
      <c r="X486" s="97">
        <f t="shared" si="127"/>
        <v>0</v>
      </c>
      <c r="Y486" s="98">
        <f t="shared" si="128"/>
        <v>0</v>
      </c>
      <c r="Z486" s="97">
        <f t="shared" si="129"/>
        <v>0</v>
      </c>
      <c r="AA486" s="98">
        <f t="shared" si="130"/>
        <v>0</v>
      </c>
      <c r="AB486" s="98">
        <f t="shared" si="131"/>
        <v>0</v>
      </c>
      <c r="AC486" s="91"/>
      <c r="AD486" s="92">
        <f t="shared" si="123"/>
        <v>0</v>
      </c>
    </row>
    <row r="487" spans="1:30" ht="11.25">
      <c r="A487" s="15"/>
      <c r="B487" s="93">
        <f>IF(C487&gt;$K$1,0,'Ranges and Data'!$A$10)</f>
        <v>0</v>
      </c>
      <c r="C487" s="94">
        <f t="shared" si="124"/>
        <v>45616.16666666571</v>
      </c>
      <c r="D487" s="85">
        <f t="shared" si="125"/>
        <v>0</v>
      </c>
      <c r="E487" s="15"/>
      <c r="F487" s="21"/>
      <c r="G487" s="21"/>
      <c r="H487" s="21"/>
      <c r="I487" s="21"/>
      <c r="J487" s="21"/>
      <c r="K487" s="21"/>
      <c r="L487" s="21"/>
      <c r="M487" s="15"/>
      <c r="N487" s="42"/>
      <c r="O487" s="86">
        <f t="shared" si="132"/>
        <v>0</v>
      </c>
      <c r="P487" s="86">
        <f t="shared" si="132"/>
        <v>0</v>
      </c>
      <c r="Q487" s="86">
        <f t="shared" si="132"/>
        <v>0</v>
      </c>
      <c r="R487" s="86">
        <f t="shared" si="132"/>
        <v>0</v>
      </c>
      <c r="S487" s="86">
        <f t="shared" si="132"/>
        <v>0</v>
      </c>
      <c r="T487" s="86">
        <f t="shared" si="132"/>
        <v>0</v>
      </c>
      <c r="U487" s="87">
        <f t="shared" si="132"/>
        <v>0</v>
      </c>
      <c r="V487" s="15"/>
      <c r="W487" s="96">
        <f t="shared" si="126"/>
        <v>0</v>
      </c>
      <c r="X487" s="97">
        <f t="shared" si="127"/>
        <v>0</v>
      </c>
      <c r="Y487" s="98">
        <f t="shared" si="128"/>
        <v>0</v>
      </c>
      <c r="Z487" s="97">
        <f t="shared" si="129"/>
        <v>0</v>
      </c>
      <c r="AA487" s="98">
        <f t="shared" si="130"/>
        <v>0</v>
      </c>
      <c r="AB487" s="98">
        <f t="shared" si="131"/>
        <v>0</v>
      </c>
      <c r="AC487" s="91"/>
      <c r="AD487" s="92">
        <f t="shared" si="123"/>
        <v>0</v>
      </c>
    </row>
    <row r="488" spans="1:30" ht="11.25">
      <c r="A488" s="15"/>
      <c r="B488" s="93">
        <f>IF(C488&gt;$K$1,0,'Ranges and Data'!$A$10)</f>
        <v>0</v>
      </c>
      <c r="C488" s="94">
        <f t="shared" si="124"/>
        <v>45646.583333332375</v>
      </c>
      <c r="D488" s="85">
        <f t="shared" si="125"/>
        <v>0</v>
      </c>
      <c r="E488" s="15"/>
      <c r="F488" s="21"/>
      <c r="G488" s="21"/>
      <c r="H488" s="21"/>
      <c r="I488" s="21"/>
      <c r="J488" s="21"/>
      <c r="K488" s="21"/>
      <c r="L488" s="21"/>
      <c r="M488" s="15"/>
      <c r="N488" s="42"/>
      <c r="O488" s="86">
        <f t="shared" si="132"/>
        <v>0</v>
      </c>
      <c r="P488" s="86">
        <f t="shared" si="132"/>
        <v>0</v>
      </c>
      <c r="Q488" s="86">
        <f t="shared" si="132"/>
        <v>0</v>
      </c>
      <c r="R488" s="86">
        <f t="shared" si="132"/>
        <v>0</v>
      </c>
      <c r="S488" s="86">
        <f t="shared" si="132"/>
        <v>0</v>
      </c>
      <c r="T488" s="86">
        <f t="shared" si="132"/>
        <v>0</v>
      </c>
      <c r="U488" s="87">
        <f t="shared" si="132"/>
        <v>0</v>
      </c>
      <c r="V488" s="15"/>
      <c r="W488" s="96">
        <f t="shared" si="126"/>
        <v>0</v>
      </c>
      <c r="X488" s="97">
        <f t="shared" si="127"/>
        <v>0</v>
      </c>
      <c r="Y488" s="98">
        <f t="shared" si="128"/>
        <v>0</v>
      </c>
      <c r="Z488" s="97">
        <f t="shared" si="129"/>
        <v>0</v>
      </c>
      <c r="AA488" s="98">
        <f t="shared" si="130"/>
        <v>0</v>
      </c>
      <c r="AB488" s="98">
        <f t="shared" si="131"/>
        <v>0</v>
      </c>
      <c r="AC488" s="91"/>
      <c r="AD488" s="92">
        <f t="shared" si="123"/>
        <v>0</v>
      </c>
    </row>
    <row r="489" spans="1:30" ht="11.25">
      <c r="A489" s="15"/>
      <c r="B489" s="93">
        <f>IF(C489&gt;$K$1,0,'Ranges and Data'!$A$10)</f>
        <v>0</v>
      </c>
      <c r="C489" s="94">
        <f t="shared" si="124"/>
        <v>45676.99999999904</v>
      </c>
      <c r="D489" s="85">
        <f t="shared" si="125"/>
        <v>0</v>
      </c>
      <c r="E489" s="15"/>
      <c r="F489" s="21"/>
      <c r="G489" s="21"/>
      <c r="H489" s="21"/>
      <c r="I489" s="21"/>
      <c r="J489" s="21"/>
      <c r="K489" s="21"/>
      <c r="L489" s="21"/>
      <c r="M489" s="15"/>
      <c r="N489" s="42"/>
      <c r="O489" s="86">
        <f t="shared" si="132"/>
        <v>0</v>
      </c>
      <c r="P489" s="86">
        <f t="shared" si="132"/>
        <v>0</v>
      </c>
      <c r="Q489" s="86">
        <f t="shared" si="132"/>
        <v>0</v>
      </c>
      <c r="R489" s="86">
        <f t="shared" si="132"/>
        <v>0</v>
      </c>
      <c r="S489" s="86">
        <f t="shared" si="132"/>
        <v>0</v>
      </c>
      <c r="T489" s="86">
        <f t="shared" si="132"/>
        <v>0</v>
      </c>
      <c r="U489" s="87">
        <f t="shared" si="132"/>
        <v>0</v>
      </c>
      <c r="V489" s="15"/>
      <c r="W489" s="96">
        <f t="shared" si="126"/>
        <v>0</v>
      </c>
      <c r="X489" s="97">
        <f t="shared" si="127"/>
        <v>0</v>
      </c>
      <c r="Y489" s="98">
        <f t="shared" si="128"/>
        <v>0</v>
      </c>
      <c r="Z489" s="97">
        <f t="shared" si="129"/>
        <v>0</v>
      </c>
      <c r="AA489" s="98">
        <f t="shared" si="130"/>
        <v>0</v>
      </c>
      <c r="AB489" s="98">
        <f t="shared" si="131"/>
        <v>0</v>
      </c>
      <c r="AC489" s="91"/>
      <c r="AD489" s="92">
        <f t="shared" si="123"/>
        <v>0</v>
      </c>
    </row>
    <row r="490" spans="1:30" ht="11.25">
      <c r="A490" s="15"/>
      <c r="B490" s="93">
        <f>IF(C490&gt;$K$1,0,'Ranges and Data'!$A$10)</f>
        <v>0</v>
      </c>
      <c r="C490" s="94">
        <f t="shared" si="124"/>
        <v>45707.416666665704</v>
      </c>
      <c r="D490" s="85">
        <f t="shared" si="125"/>
        <v>0</v>
      </c>
      <c r="E490" s="15"/>
      <c r="F490" s="21"/>
      <c r="G490" s="21"/>
      <c r="H490" s="21"/>
      <c r="I490" s="21"/>
      <c r="J490" s="21"/>
      <c r="K490" s="21"/>
      <c r="L490" s="21"/>
      <c r="M490" s="15"/>
      <c r="N490" s="42"/>
      <c r="O490" s="86">
        <f t="shared" si="132"/>
        <v>0</v>
      </c>
      <c r="P490" s="86">
        <f t="shared" si="132"/>
        <v>0</v>
      </c>
      <c r="Q490" s="86">
        <f t="shared" si="132"/>
        <v>0</v>
      </c>
      <c r="R490" s="86">
        <f t="shared" si="132"/>
        <v>0</v>
      </c>
      <c r="S490" s="86">
        <f t="shared" si="132"/>
        <v>0</v>
      </c>
      <c r="T490" s="86">
        <f t="shared" si="132"/>
        <v>0</v>
      </c>
      <c r="U490" s="87">
        <f t="shared" si="132"/>
        <v>0</v>
      </c>
      <c r="V490" s="15"/>
      <c r="W490" s="96">
        <f t="shared" si="126"/>
        <v>0</v>
      </c>
      <c r="X490" s="97">
        <f t="shared" si="127"/>
        <v>0</v>
      </c>
      <c r="Y490" s="98">
        <f t="shared" si="128"/>
        <v>0</v>
      </c>
      <c r="Z490" s="97">
        <f t="shared" si="129"/>
        <v>0</v>
      </c>
      <c r="AA490" s="98">
        <f t="shared" si="130"/>
        <v>0</v>
      </c>
      <c r="AB490" s="98">
        <f t="shared" si="131"/>
        <v>0</v>
      </c>
      <c r="AC490" s="91"/>
      <c r="AD490" s="92">
        <f t="shared" si="123"/>
        <v>0</v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Investors,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L. Coppola</dc:creator>
  <cp:keywords/>
  <dc:description/>
  <cp:lastModifiedBy>Kevin L. Coppola</cp:lastModifiedBy>
  <cp:lastPrinted>2005-03-25T18:06:44Z</cp:lastPrinted>
  <dcterms:created xsi:type="dcterms:W3CDTF">2005-01-25T20:41:00Z</dcterms:created>
  <dcterms:modified xsi:type="dcterms:W3CDTF">2015-01-24T01:44:29Z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